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Параметры" sheetId="1" state="visible" r:id="rId1"/>
    <sheet xmlns:r="http://schemas.openxmlformats.org/officeDocument/2006/relationships" name="Дерево" sheetId="2" state="visible" r:id="rId2"/>
    <sheet xmlns:r="http://schemas.openxmlformats.org/officeDocument/2006/relationships" name="Крепёж" sheetId="3" state="visible" r:id="rId3"/>
    <sheet xmlns:r="http://schemas.openxmlformats.org/officeDocument/2006/relationships" name="Сводка" sheetId="4" state="visible" r:id="rId4"/>
    <sheet xmlns:r="http://schemas.openxmlformats.org/officeDocument/2006/relationships" name="Под ключ" sheetId="5" state="visible" r:id="rId5"/>
    <sheet xmlns:r="http://schemas.openxmlformats.org/officeDocument/2006/relationships" name="Цена для клиента" sheetId="6" state="visible" r:id="rId6"/>
    <sheet xmlns:r="http://schemas.openxmlformats.org/officeDocument/2006/relationships" name="Контроль (значения)" sheetId="7" state="visible" r:id="rId7"/>
    <sheet xmlns:r="http://schemas.openxmlformats.org/officeDocument/2006/relationships" name="Производство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0"/>
    <numFmt numFmtId="165" formatCode="0.000"/>
    <numFmt numFmtId="166" formatCode="0.0"/>
    <numFmt numFmtId="167" formatCode="0.0&quot;×&quot;"/>
  </numFmts>
  <fonts count="7">
    <font>
      <name val="Calibri"/>
      <family val="2"/>
      <color theme="1"/>
      <sz val="11"/>
      <scheme val="minor"/>
    </font>
    <font>
      <b val="1"/>
      <sz val="12"/>
    </font>
    <font>
      <b val="1"/>
      <color rgb="00FFFFFF"/>
    </font>
    <font>
      <b val="1"/>
    </font>
    <font>
      <i val="1"/>
      <sz val="9"/>
    </font>
    <font>
      <b val="1"/>
      <color rgb="001F4E79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DEBF7"/>
      </patternFill>
    </fill>
    <fill>
      <patternFill patternType="solid">
        <fgColor rgb="00C6E0B4"/>
      </patternFill>
    </fill>
    <fill>
      <patternFill patternType="solid">
        <fgColor rgb="00FCE4D6"/>
      </patternFill>
    </fill>
    <fill>
      <patternFill patternType="solid">
        <fgColor rgb="00BDD7EE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wrapText="1"/>
    </xf>
    <xf numFmtId="0" fontId="3" fillId="0" borderId="0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3" fillId="3" borderId="1" pivotButton="0" quotePrefix="0" xfId="0"/>
    <xf numFmtId="0" fontId="0" fillId="3" borderId="1" pivotButton="0" quotePrefix="0" xfId="0"/>
    <xf numFmtId="165" fontId="3" fillId="3" borderId="1" pivotButton="0" quotePrefix="0" xfId="0"/>
    <xf numFmtId="166" fontId="3" fillId="3" borderId="1" pivotButton="0" quotePrefix="0" xfId="0"/>
    <xf numFmtId="0" fontId="4" fillId="0" borderId="0" pivotButton="0" quotePrefix="0" xfId="0"/>
    <xf numFmtId="3" fontId="0" fillId="0" borderId="1" pivotButton="0" quotePrefix="0" xfId="0"/>
    <xf numFmtId="3" fontId="3" fillId="3" borderId="1" pivotButton="0" quotePrefix="0" xfId="0"/>
    <xf numFmtId="0" fontId="0" fillId="4" borderId="1" pivotButton="0" quotePrefix="0" xfId="0"/>
    <xf numFmtId="0" fontId="1" fillId="4" borderId="1" pivotButton="0" quotePrefix="0" xfId="0"/>
    <xf numFmtId="3" fontId="1" fillId="4" borderId="1" pivotButton="0" quotePrefix="0" xfId="0"/>
    <xf numFmtId="0" fontId="3" fillId="5" borderId="1" pivotButton="0" quotePrefix="0" xfId="0"/>
    <xf numFmtId="0" fontId="0" fillId="5" borderId="1" pivotButton="0" quotePrefix="0" xfId="0"/>
    <xf numFmtId="3" fontId="0" fillId="5" borderId="1" pivotButton="0" quotePrefix="0" xfId="0"/>
    <xf numFmtId="0" fontId="5" fillId="0" borderId="0" pivotButton="0" quotePrefix="0" xfId="0"/>
    <xf numFmtId="9" fontId="0" fillId="0" borderId="1" pivotButton="0" quotePrefix="0" xfId="0"/>
    <xf numFmtId="167" fontId="0" fillId="0" borderId="1" pivotButton="0" quotePrefix="0" xfId="0"/>
    <xf numFmtId="3" fontId="0" fillId="3" borderId="1" pivotButton="0" quotePrefix="0" xfId="0"/>
    <xf numFmtId="0" fontId="3" fillId="6" borderId="1" pivotButton="0" quotePrefix="0" xfId="0"/>
    <xf numFmtId="0" fontId="0" fillId="6" borderId="1" pivotButton="0" quotePrefix="0" xfId="0"/>
    <xf numFmtId="3" fontId="3" fillId="6" borderId="1" pivotButton="0" quotePrefix="0" xfId="0"/>
    <xf numFmtId="0" fontId="3" fillId="4" borderId="1" pivotButton="0" quotePrefix="0" xfId="0"/>
    <xf numFmtId="3" fontId="3" fillId="4" borderId="1" pivotButton="0" quotePrefix="0" xfId="0"/>
    <xf numFmtId="0" fontId="6" fillId="0" borderId="0" pivotButton="0" quotePrefix="0" xfId="0"/>
    <xf numFmtId="0" fontId="3" fillId="0" borderId="1" pivotButton="0" quotePrefix="0" xfId="0"/>
    <xf numFmtId="0" fontId="2" fillId="2" borderId="1" applyAlignment="1" pivotButton="0" quotePrefix="0" xfId="0">
      <alignment horizontal="center"/>
    </xf>
    <xf numFmtId="0" fontId="2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11" customWidth="1" min="1" max="1"/>
    <col width="42" customWidth="1" min="2" max="2"/>
    <col width="12" customWidth="1" min="3" max="3"/>
  </cols>
  <sheetData>
    <row r="1">
      <c r="A1" s="1" t="inlineStr">
        <is>
          <t>ПАРАМЕТРЫ (меняйте — пересчитается всё)</t>
        </is>
      </c>
    </row>
    <row r="3">
      <c r="A3" s="2" t="inlineStr">
        <is>
          <t>Ключ</t>
        </is>
      </c>
      <c r="B3" s="2" t="inlineStr">
        <is>
          <t>Описание</t>
        </is>
      </c>
      <c r="C3" s="2" t="inlineStr">
        <is>
          <t>Значение</t>
        </is>
      </c>
    </row>
    <row r="4">
      <c r="A4" s="3" t="inlineStr">
        <is>
          <t>P_wood</t>
        </is>
      </c>
      <c r="B4" t="inlineStr">
        <is>
          <t>Цена дерева, $/м³</t>
        </is>
      </c>
      <c r="C4" t="n">
        <v>800</v>
      </c>
    </row>
    <row r="5">
      <c r="A5" s="3" t="inlineStr">
        <is>
          <t>c_cnc</t>
        </is>
      </c>
      <c r="B5" t="inlineStr">
        <is>
          <t>ЧПУ-обработка, $/деталь (серия)</t>
        </is>
      </c>
      <c r="C5" t="n">
        <v>0.55</v>
      </c>
    </row>
    <row r="6">
      <c r="A6" s="3" t="inlineStr">
        <is>
          <t>p_fin</t>
        </is>
      </c>
      <c r="B6" t="inlineStr">
        <is>
          <t>Финишная отделка, $/м² (серия)</t>
        </is>
      </c>
      <c r="C6" t="n">
        <v>5</v>
      </c>
    </row>
    <row r="7">
      <c r="A7" s="3" t="inlineStr">
        <is>
          <t>waste</t>
        </is>
      </c>
      <c r="B7" t="inlineStr">
        <is>
          <t>Отходы/подбор дерева+обработка, %</t>
        </is>
      </c>
      <c r="C7" t="n">
        <v>0.12</v>
      </c>
    </row>
    <row r="8">
      <c r="A8" s="3" t="inlineStr">
        <is>
          <t>labor</t>
        </is>
      </c>
      <c r="B8" t="inlineStr">
        <is>
          <t>Заводской труд, доля подытога</t>
        </is>
      </c>
      <c r="C8" t="n">
        <v>0.18</v>
      </c>
    </row>
    <row r="9">
      <c r="A9" s="3" t="inlineStr">
        <is>
          <t>oh</t>
        </is>
      </c>
      <c r="B9" t="inlineStr">
        <is>
          <t>Накладные, доля подытога</t>
        </is>
      </c>
      <c r="C9" t="n">
        <v>0.12</v>
      </c>
    </row>
    <row r="10">
      <c r="A10" s="3" t="inlineStr">
        <is>
          <t>pack</t>
        </is>
      </c>
      <c r="B10" t="inlineStr">
        <is>
          <t>Упаковка/палетизация, $</t>
        </is>
      </c>
      <c r="C10" t="n">
        <v>700</v>
      </c>
    </row>
    <row r="11">
      <c r="A11" s="3" t="inlineStr">
        <is>
          <t>A_wall</t>
        </is>
      </c>
      <c r="B11" t="inlineStr">
        <is>
          <t>Наружная стена, м²</t>
        </is>
      </c>
      <c r="C11" t="n">
        <v>220</v>
      </c>
    </row>
    <row r="12">
      <c r="A12" s="3" t="inlineStr">
        <is>
          <t>S_live</t>
        </is>
      </c>
      <c r="B12" t="inlineStr">
        <is>
          <t>Жилая площадь, м²</t>
        </is>
      </c>
      <c r="C12" t="n">
        <v>120</v>
      </c>
    </row>
    <row r="13">
      <c r="A13" s="3" t="inlineStr">
        <is>
          <t>mkt_lo</t>
        </is>
      </c>
      <c r="B13" t="inlineStr">
        <is>
          <t>Рынок США низ, $/фт²</t>
        </is>
      </c>
      <c r="C13" t="n">
        <v>150</v>
      </c>
    </row>
    <row r="14">
      <c r="A14" s="3" t="inlineStr">
        <is>
          <t>mkt_hi</t>
        </is>
      </c>
      <c r="B14" t="inlineStr">
        <is>
          <t>Рынок США верх, $/фт²</t>
        </is>
      </c>
      <c r="C14" t="n">
        <v>300</v>
      </c>
    </row>
    <row r="15">
      <c r="A15" s="3" t="inlineStr">
        <is>
          <t>ft2_m2</t>
        </is>
      </c>
      <c r="B15" t="inlineStr">
        <is>
          <t>м²→фт²</t>
        </is>
      </c>
      <c r="C15" t="n">
        <v>10.7639</v>
      </c>
    </row>
    <row r="16">
      <c r="A16" s="3" t="inlineStr">
        <is>
          <t>kit_marg</t>
        </is>
      </c>
      <c r="B16" t="inlineStr">
        <is>
          <t>Валовая маржа на комплект, %</t>
        </is>
      </c>
      <c r="C16" t="n">
        <v>0.52</v>
      </c>
    </row>
    <row r="17">
      <c r="A17" s="3" t="inlineStr">
        <is>
          <t>prof_n</t>
        </is>
      </c>
      <c r="B17" t="inlineStr">
        <is>
          <t>Профилей H/угол, шт</t>
        </is>
      </c>
      <c r="C17" t="n">
        <v>136</v>
      </c>
    </row>
    <row r="18">
      <c r="A18" s="3" t="inlineStr">
        <is>
          <t>prof_L</t>
        </is>
      </c>
      <c r="B18" t="inlineStr">
        <is>
          <t>Длина профиля, м</t>
        </is>
      </c>
      <c r="C18" t="n">
        <v>6.02</v>
      </c>
    </row>
    <row r="19">
      <c r="A19" s="3" t="inlineStr">
        <is>
          <t>prof_usdm</t>
        </is>
      </c>
      <c r="B19" t="inlineStr">
        <is>
          <t>Цена профиля как ГКЛ, $/пог.м</t>
        </is>
      </c>
      <c r="C19" t="n">
        <v>2.2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>
      <c r="A1" s="1" t="inlineStr">
        <is>
          <t>СПЕЦИФИКАЦИЯ ДЕРЕВА (из CAD-сборки)</t>
        </is>
      </c>
    </row>
    <row r="3">
      <c r="A3" s="2" t="inlineStr">
        <is>
          <t>Деталь</t>
        </is>
      </c>
      <c r="B3" s="2" t="inlineStr">
        <is>
          <t>Группа</t>
        </is>
      </c>
      <c r="C3" s="2" t="inlineStr">
        <is>
          <t>L,мм</t>
        </is>
      </c>
      <c r="D3" s="2" t="inlineStr">
        <is>
          <t>W,м</t>
        </is>
      </c>
      <c r="E3" s="2" t="inlineStr">
        <is>
          <t>T,м</t>
        </is>
      </c>
      <c r="F3" s="2" t="inlineStr">
        <is>
          <t>N</t>
        </is>
      </c>
      <c r="G3" s="2" t="inlineStr">
        <is>
          <t>Объём 1шт,м³</t>
        </is>
      </c>
      <c r="H3" s="2" t="inlineStr">
        <is>
          <t>Объём всего,м³</t>
        </is>
      </c>
      <c r="I3" s="2" t="inlineStr">
        <is>
          <t>Финиш?</t>
        </is>
      </c>
      <c r="J3" s="2" t="inlineStr">
        <is>
          <t>Лиц.площадь,м²</t>
        </is>
      </c>
    </row>
    <row r="4">
      <c r="A4" s="4" t="inlineStr">
        <is>
          <t>Доска наружная 1500</t>
        </is>
      </c>
      <c r="B4" s="4" t="inlineStr">
        <is>
          <t>стена</t>
        </is>
      </c>
      <c r="C4" s="4" t="n">
        <v>1500</v>
      </c>
      <c r="D4" s="4" t="n">
        <v>0.1</v>
      </c>
      <c r="E4" s="4" t="n">
        <v>0.02</v>
      </c>
      <c r="F4" s="4" t="n">
        <v>1188</v>
      </c>
      <c r="G4" s="5">
        <f>(C4/1000)*D4*E4</f>
        <v/>
      </c>
      <c r="H4" s="6">
        <f>G4*F4</f>
        <v/>
      </c>
      <c r="I4" s="4" t="n">
        <v>1</v>
      </c>
      <c r="J4" s="7">
        <f>IF(I4=1,(C4/1000)*D4*F4,0)</f>
        <v/>
      </c>
    </row>
    <row r="5">
      <c r="A5" s="4" t="inlineStr">
        <is>
          <t>Доска наружная 1140 (Л/П)</t>
        </is>
      </c>
      <c r="B5" s="4" t="inlineStr">
        <is>
          <t>стена</t>
        </is>
      </c>
      <c r="C5" s="4" t="n">
        <v>1140</v>
      </c>
      <c r="D5" s="4" t="n">
        <v>0.1</v>
      </c>
      <c r="E5" s="4" t="n">
        <v>0.02</v>
      </c>
      <c r="F5" s="4" t="n">
        <v>272</v>
      </c>
      <c r="G5" s="5">
        <f>(C5/1000)*D5*E5</f>
        <v/>
      </c>
      <c r="H5" s="6">
        <f>G5*F5</f>
        <v/>
      </c>
      <c r="I5" s="4" t="n">
        <v>1</v>
      </c>
      <c r="J5" s="7">
        <f>IF(I5=1,(C5/1000)*D5*F5,0)</f>
        <v/>
      </c>
    </row>
    <row r="6">
      <c r="A6" s="4" t="inlineStr">
        <is>
          <t>Доска внутренняя 1500</t>
        </is>
      </c>
      <c r="B6" s="4" t="inlineStr">
        <is>
          <t>стена</t>
        </is>
      </c>
      <c r="C6" s="4" t="n">
        <v>1500</v>
      </c>
      <c r="D6" s="4" t="n">
        <v>0.1</v>
      </c>
      <c r="E6" s="4" t="n">
        <v>0.02</v>
      </c>
      <c r="F6" s="4" t="n">
        <v>916</v>
      </c>
      <c r="G6" s="5">
        <f>(C6/1000)*D6*E6</f>
        <v/>
      </c>
      <c r="H6" s="6">
        <f>G6*F6</f>
        <v/>
      </c>
      <c r="I6" s="4" t="n">
        <v>1</v>
      </c>
      <c r="J6" s="7">
        <f>IF(I6=1,(C6/1000)*D6*F6,0)</f>
        <v/>
      </c>
    </row>
    <row r="7">
      <c r="A7" s="4" t="inlineStr">
        <is>
          <t>Доска внутренняя 1430 (Л/П)</t>
        </is>
      </c>
      <c r="B7" s="4" t="inlineStr">
        <is>
          <t>стена</t>
        </is>
      </c>
      <c r="C7" s="4" t="n">
        <v>1430</v>
      </c>
      <c r="D7" s="4" t="n">
        <v>0.1</v>
      </c>
      <c r="E7" s="4" t="n">
        <v>0.02</v>
      </c>
      <c r="F7" s="4" t="n">
        <v>272</v>
      </c>
      <c r="G7" s="5">
        <f>(C7/1000)*D7*E7</f>
        <v/>
      </c>
      <c r="H7" s="6">
        <f>G7*F7</f>
        <v/>
      </c>
      <c r="I7" s="4" t="n">
        <v>1</v>
      </c>
      <c r="J7" s="7">
        <f>IF(I7=1,(C7/1000)*D7*F7,0)</f>
        <v/>
      </c>
    </row>
    <row r="8">
      <c r="A8" s="4" t="inlineStr">
        <is>
          <t>Доска внутренняя 1210 (Л/П)</t>
        </is>
      </c>
      <c r="B8" s="4" t="inlineStr">
        <is>
          <t>стена</t>
        </is>
      </c>
      <c r="C8" s="4" t="n">
        <v>1210</v>
      </c>
      <c r="D8" s="4" t="n">
        <v>0.1</v>
      </c>
      <c r="E8" s="4" t="n">
        <v>0.02</v>
      </c>
      <c r="F8" s="4" t="n">
        <v>272</v>
      </c>
      <c r="G8" s="5">
        <f>(C8/1000)*D8*E8</f>
        <v/>
      </c>
      <c r="H8" s="6">
        <f>G8*F8</f>
        <v/>
      </c>
      <c r="I8" s="4" t="n">
        <v>1</v>
      </c>
      <c r="J8" s="7">
        <f>IF(I8=1,(C8/1000)*D8*F8,0)</f>
        <v/>
      </c>
    </row>
    <row r="9">
      <c r="A9" s="4" t="inlineStr">
        <is>
          <t>Доска внутр. ниши</t>
        </is>
      </c>
      <c r="B9" s="4" t="inlineStr">
        <is>
          <t>стена</t>
        </is>
      </c>
      <c r="C9" s="4" t="n">
        <v>1000</v>
      </c>
      <c r="D9" s="4" t="n">
        <v>0.1</v>
      </c>
      <c r="E9" s="4" t="n">
        <v>0.02</v>
      </c>
      <c r="F9" s="4" t="n">
        <v>22</v>
      </c>
      <c r="G9" s="5">
        <f>(C9/1000)*D9*E9</f>
        <v/>
      </c>
      <c r="H9" s="6">
        <f>G9*F9</f>
        <v/>
      </c>
      <c r="I9" s="4" t="n">
        <v>1</v>
      </c>
      <c r="J9" s="7">
        <f>IF(I9=1,(C9/1000)*D9*F9,0)</f>
        <v/>
      </c>
    </row>
    <row r="10">
      <c r="A10" s="4" t="inlineStr">
        <is>
          <t>Продолжение проёма 1500</t>
        </is>
      </c>
      <c r="B10" s="4" t="inlineStr">
        <is>
          <t>стена</t>
        </is>
      </c>
      <c r="C10" s="4" t="n">
        <v>1500</v>
      </c>
      <c r="D10" s="4" t="n">
        <v>0.1</v>
      </c>
      <c r="E10" s="4" t="n">
        <v>0.02</v>
      </c>
      <c r="F10" s="4" t="n">
        <v>22</v>
      </c>
      <c r="G10" s="5">
        <f>(C10/1000)*D10*E10</f>
        <v/>
      </c>
      <c r="H10" s="6">
        <f>G10*F10</f>
        <v/>
      </c>
      <c r="I10" s="4" t="n">
        <v>1</v>
      </c>
      <c r="J10" s="7">
        <f>IF(I10=1,(C10/1000)*D10*F10,0)</f>
        <v/>
      </c>
    </row>
    <row r="11">
      <c r="A11" s="4" t="inlineStr">
        <is>
          <t>Заглушка center 340</t>
        </is>
      </c>
      <c r="B11" s="4" t="inlineStr">
        <is>
          <t>стена</t>
        </is>
      </c>
      <c r="C11" s="4" t="n">
        <v>340</v>
      </c>
      <c r="D11" s="4" t="n">
        <v>0.1</v>
      </c>
      <c r="E11" s="4" t="n">
        <v>0.02</v>
      </c>
      <c r="F11" s="4" t="n">
        <v>288</v>
      </c>
      <c r="G11" s="5">
        <f>(C11/1000)*D11*E11</f>
        <v/>
      </c>
      <c r="H11" s="6">
        <f>G11*F11</f>
        <v/>
      </c>
      <c r="I11" s="4" t="n">
        <v>1</v>
      </c>
      <c r="J11" s="7">
        <f>IF(I11=1,(C11/1000)*D11*F11,0)</f>
        <v/>
      </c>
    </row>
    <row r="12">
      <c r="A12" s="4" t="inlineStr">
        <is>
          <t>Заглушка inside 200</t>
        </is>
      </c>
      <c r="B12" s="4" t="inlineStr">
        <is>
          <t>стена</t>
        </is>
      </c>
      <c r="C12" s="4" t="n">
        <v>200</v>
      </c>
      <c r="D12" s="4" t="n">
        <v>0.1</v>
      </c>
      <c r="E12" s="4" t="n">
        <v>0.02</v>
      </c>
      <c r="F12" s="4" t="n">
        <v>288</v>
      </c>
      <c r="G12" s="5">
        <f>(C12/1000)*D12*E12</f>
        <v/>
      </c>
      <c r="H12" s="6">
        <f>G12*F12</f>
        <v/>
      </c>
      <c r="I12" s="4" t="n">
        <v>1</v>
      </c>
      <c r="J12" s="7">
        <f>IF(I12=1,(C12/1000)*D12*F12,0)</f>
        <v/>
      </c>
    </row>
    <row r="13">
      <c r="A13" s="4" t="inlineStr">
        <is>
          <t>Заглушка left 55</t>
        </is>
      </c>
      <c r="B13" s="4" t="inlineStr">
        <is>
          <t>стена</t>
        </is>
      </c>
      <c r="C13" s="4" t="n">
        <v>55</v>
      </c>
      <c r="D13" s="4" t="n">
        <v>0.1</v>
      </c>
      <c r="E13" s="4" t="n">
        <v>0.02</v>
      </c>
      <c r="F13" s="4" t="n">
        <v>288</v>
      </c>
      <c r="G13" s="5">
        <f>(C13/1000)*D13*E13</f>
        <v/>
      </c>
      <c r="H13" s="6">
        <f>G13*F13</f>
        <v/>
      </c>
      <c r="I13" s="4" t="n">
        <v>1</v>
      </c>
      <c r="J13" s="7">
        <f>IF(I13=1,(C13/1000)*D13*F13,0)</f>
        <v/>
      </c>
    </row>
    <row r="14">
      <c r="A14" s="4" t="inlineStr">
        <is>
          <t>Заглушка right 55</t>
        </is>
      </c>
      <c r="B14" s="4" t="inlineStr">
        <is>
          <t>стена</t>
        </is>
      </c>
      <c r="C14" s="4" t="n">
        <v>55</v>
      </c>
      <c r="D14" s="4" t="n">
        <v>0.1</v>
      </c>
      <c r="E14" s="4" t="n">
        <v>0.02</v>
      </c>
      <c r="F14" s="4" t="n">
        <v>288</v>
      </c>
      <c r="G14" s="5">
        <f>(C14/1000)*D14*E14</f>
        <v/>
      </c>
      <c r="H14" s="6">
        <f>G14*F14</f>
        <v/>
      </c>
      <c r="I14" s="4" t="n">
        <v>1</v>
      </c>
      <c r="J14" s="7">
        <f>IF(I14=1,(C14/1000)*D14*F14,0)</f>
        <v/>
      </c>
    </row>
    <row r="15">
      <c r="A15" s="4" t="inlineStr">
        <is>
          <t>Доска (plank) 1500 низ</t>
        </is>
      </c>
      <c r="B15" s="4" t="inlineStr">
        <is>
          <t>стена</t>
        </is>
      </c>
      <c r="C15" s="4" t="n">
        <v>1500</v>
      </c>
      <c r="D15" s="4" t="n">
        <v>0.1</v>
      </c>
      <c r="E15" s="4" t="n">
        <v>0.02</v>
      </c>
      <c r="F15" s="4" t="n">
        <v>36</v>
      </c>
      <c r="G15" s="5">
        <f>(C15/1000)*D15*E15</f>
        <v/>
      </c>
      <c r="H15" s="6">
        <f>G15*F15</f>
        <v/>
      </c>
      <c r="I15" s="4" t="n">
        <v>1</v>
      </c>
      <c r="J15" s="7">
        <f>IF(I15=1,(C15/1000)*D15*F15,0)</f>
        <v/>
      </c>
    </row>
    <row r="16">
      <c r="A16" s="4" t="inlineStr">
        <is>
          <t>Доска угловая 100×20×20</t>
        </is>
      </c>
      <c r="B16" s="4" t="inlineStr">
        <is>
          <t>стена</t>
        </is>
      </c>
      <c r="C16" s="4" t="n">
        <v>100</v>
      </c>
      <c r="D16" s="4" t="n">
        <v>0.02</v>
      </c>
      <c r="E16" s="4" t="n">
        <v>0.02</v>
      </c>
      <c r="F16" s="4" t="n">
        <v>136</v>
      </c>
      <c r="G16" s="5">
        <f>(C16/1000)*D16*E16</f>
        <v/>
      </c>
      <c r="H16" s="6">
        <f>G16*F16</f>
        <v/>
      </c>
      <c r="I16" s="4" t="n">
        <v>1</v>
      </c>
      <c r="J16" s="7">
        <f>IF(I16=1,(C16/1000)*D16*F16,0)</f>
        <v/>
      </c>
    </row>
    <row r="17">
      <c r="A17" s="4" t="inlineStr">
        <is>
          <t>Доска потолка ниши</t>
        </is>
      </c>
      <c r="B17" s="4" t="inlineStr">
        <is>
          <t>стена</t>
        </is>
      </c>
      <c r="C17" s="4" t="n">
        <v>340</v>
      </c>
      <c r="D17" s="4" t="n">
        <v>0.1</v>
      </c>
      <c r="E17" s="4" t="n">
        <v>0.02</v>
      </c>
      <c r="F17" s="4" t="n">
        <v>165</v>
      </c>
      <c r="G17" s="5">
        <f>(C17/1000)*D17*E17</f>
        <v/>
      </c>
      <c r="H17" s="6">
        <f>G17*F17</f>
        <v/>
      </c>
      <c r="I17" s="4" t="n">
        <v>1</v>
      </c>
      <c r="J17" s="7">
        <f>IF(I17=1,(C17/1000)*D17*F17,0)</f>
        <v/>
      </c>
    </row>
    <row r="18">
      <c r="A18" s="4" t="inlineStr">
        <is>
          <t>Дно корыта перекрытия</t>
        </is>
      </c>
      <c r="B18" s="4" t="inlineStr">
        <is>
          <t>перекрытие</t>
        </is>
      </c>
      <c r="C18" s="4" t="n">
        <v>1500</v>
      </c>
      <c r="D18" s="4" t="n">
        <v>0.1</v>
      </c>
      <c r="E18" s="4" t="n">
        <v>0.02</v>
      </c>
      <c r="F18" s="4" t="n">
        <v>360</v>
      </c>
      <c r="G18" s="5">
        <f>(C18/1000)*D18*E18</f>
        <v/>
      </c>
      <c r="H18" s="6">
        <f>G18*F18</f>
        <v/>
      </c>
      <c r="I18" s="4" t="n">
        <v>0</v>
      </c>
      <c r="J18" s="7">
        <f>IF(I18=1,(C18/1000)*D18*F18,0)</f>
        <v/>
      </c>
    </row>
    <row r="19">
      <c r="A19" s="4" t="inlineStr">
        <is>
          <t>Боковина корыта</t>
        </is>
      </c>
      <c r="B19" s="4" t="inlineStr">
        <is>
          <t>перекрытие</t>
        </is>
      </c>
      <c r="C19" s="4" t="n">
        <v>1500</v>
      </c>
      <c r="D19" s="4" t="n">
        <v>0.1</v>
      </c>
      <c r="E19" s="4" t="n">
        <v>0.02</v>
      </c>
      <c r="F19" s="4" t="n">
        <v>72</v>
      </c>
      <c r="G19" s="5">
        <f>(C19/1000)*D19*E19</f>
        <v/>
      </c>
      <c r="H19" s="6">
        <f>G19*F19</f>
        <v/>
      </c>
      <c r="I19" s="4" t="n">
        <v>0</v>
      </c>
      <c r="J19" s="7">
        <f>IF(I19=1,(C19/1000)*D19*F19,0)</f>
        <v/>
      </c>
    </row>
    <row r="20">
      <c r="A20" s="4" t="inlineStr">
        <is>
          <t>Дно корыта (выступ)</t>
        </is>
      </c>
      <c r="B20" s="4" t="inlineStr">
        <is>
          <t>перекрытие</t>
        </is>
      </c>
      <c r="C20" s="4" t="n">
        <v>1500</v>
      </c>
      <c r="D20" s="4" t="n">
        <v>0.1</v>
      </c>
      <c r="E20" s="4" t="n">
        <v>0.02</v>
      </c>
      <c r="F20" s="4" t="n">
        <v>36</v>
      </c>
      <c r="G20" s="5">
        <f>(C20/1000)*D20*E20</f>
        <v/>
      </c>
      <c r="H20" s="6">
        <f>G20*F20</f>
        <v/>
      </c>
      <c r="I20" s="4" t="n">
        <v>0</v>
      </c>
      <c r="J20" s="7">
        <f>IF(I20=1,(C20/1000)*D20*F20,0)</f>
        <v/>
      </c>
    </row>
    <row r="21">
      <c r="A21" s="4" t="inlineStr">
        <is>
          <t>Заглушка торцевая корыта</t>
        </is>
      </c>
      <c r="B21" s="4" t="inlineStr">
        <is>
          <t>перекрытие</t>
        </is>
      </c>
      <c r="C21" s="4" t="n">
        <v>300</v>
      </c>
      <c r="D21" s="4" t="n">
        <v>0.1</v>
      </c>
      <c r="E21" s="4" t="n">
        <v>0.02</v>
      </c>
      <c r="F21" s="4" t="n">
        <v>18</v>
      </c>
      <c r="G21" s="5">
        <f>(C21/1000)*D21*E21</f>
        <v/>
      </c>
      <c r="H21" s="6">
        <f>G21*F21</f>
        <v/>
      </c>
      <c r="I21" s="4" t="n">
        <v>0</v>
      </c>
      <c r="J21" s="7">
        <f>IF(I21=1,(C21/1000)*D21*F21,0)</f>
        <v/>
      </c>
    </row>
    <row r="22">
      <c r="A22" s="8" t="inlineStr">
        <is>
          <t>ИТОГО ДЕРЕВО</t>
        </is>
      </c>
      <c r="B22" s="9" t="n"/>
      <c r="C22" s="9" t="n"/>
      <c r="D22" s="9" t="n"/>
      <c r="E22" s="9" t="n"/>
      <c r="F22" s="8">
        <f>SUM(F4:F21)</f>
        <v/>
      </c>
      <c r="G22" s="9" t="n"/>
      <c r="H22" s="10">
        <f>SUM(H4:H21)</f>
        <v/>
      </c>
      <c r="I22" s="9" t="n"/>
      <c r="J22" s="11">
        <f>SUM(J4:J21)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>
      <c r="A1" s="1" t="inlineStr">
        <is>
          <t>КРЕПЁЖ, ПРИЖИМЫ, РАСПОРКИ, СТЕРЖНИ (из CAD-сборки)</t>
        </is>
      </c>
    </row>
    <row r="2">
      <c r="A2" s="12" t="inlineStr">
        <is>
          <t>Прижимы и шканты-15 — РАСХОДНЫЕ, остаются в комплекте (подтв. владельцем).</t>
        </is>
      </c>
    </row>
    <row r="4">
      <c r="A4" s="2" t="inlineStr">
        <is>
          <t>Деталь</t>
        </is>
      </c>
      <c r="B4" s="2" t="inlineStr">
        <is>
          <t>Кол-во N</t>
        </is>
      </c>
      <c r="C4" s="2" t="inlineStr">
        <is>
          <t>Цена низ,$</t>
        </is>
      </c>
      <c r="D4" s="2" t="inlineStr">
        <is>
          <t>Цена верх,$</t>
        </is>
      </c>
      <c r="E4" s="2" t="inlineStr">
        <is>
          <t>Стоим.низ,$</t>
        </is>
      </c>
      <c r="F4" s="2" t="inlineStr">
        <is>
          <t>Стоим.верх,$</t>
        </is>
      </c>
      <c r="G4" s="2" t="inlineStr">
        <is>
          <t>Стоим.средн.,$</t>
        </is>
      </c>
    </row>
    <row r="5">
      <c r="A5" s="4" t="inlineStr">
        <is>
          <t>Прижим (обычный)</t>
        </is>
      </c>
      <c r="B5" s="4" t="n">
        <v>22880</v>
      </c>
      <c r="C5" s="4" t="n">
        <v>0.08</v>
      </c>
      <c r="D5" s="4" t="n">
        <v>0.18</v>
      </c>
      <c r="E5" s="13">
        <f>B5*C5</f>
        <v/>
      </c>
      <c r="F5" s="13">
        <f>B5*D5</f>
        <v/>
      </c>
      <c r="G5" s="13">
        <f>(E5+F5)/2</f>
        <v/>
      </c>
    </row>
    <row r="6">
      <c r="A6" s="4" t="inlineStr">
        <is>
          <t>Прижим основной</t>
        </is>
      </c>
      <c r="B6" s="4" t="n">
        <v>3120</v>
      </c>
      <c r="C6" s="4" t="n">
        <v>0.18</v>
      </c>
      <c r="D6" s="4" t="n">
        <v>0.38</v>
      </c>
      <c r="E6" s="13">
        <f>B6*C6</f>
        <v/>
      </c>
      <c r="F6" s="13">
        <f>B6*D6</f>
        <v/>
      </c>
      <c r="G6" s="13">
        <f>(E6+F6)/2</f>
        <v/>
      </c>
    </row>
    <row r="7">
      <c r="A7" s="4" t="inlineStr">
        <is>
          <t>Шкант мебельный 15 мм</t>
        </is>
      </c>
      <c r="B7" s="4" t="n">
        <v>26000</v>
      </c>
      <c r="C7" s="4" t="n">
        <v>0.005</v>
      </c>
      <c r="D7" s="4" t="n">
        <v>0.015</v>
      </c>
      <c r="E7" s="13">
        <f>B7*C7</f>
        <v/>
      </c>
      <c r="F7" s="13">
        <f>B7*D7</f>
        <v/>
      </c>
      <c r="G7" s="13">
        <f>(E7+F7)/2</f>
        <v/>
      </c>
    </row>
    <row r="8">
      <c r="A8" s="4" t="inlineStr">
        <is>
          <t>Пруток d5 ×100 мм (вкл. kernel)</t>
        </is>
      </c>
      <c r="B8" s="4" t="n">
        <v>28293</v>
      </c>
      <c r="C8" s="4" t="n">
        <v>0.03</v>
      </c>
      <c r="D8" s="4" t="n">
        <v>0.06</v>
      </c>
      <c r="E8" s="13">
        <f>B8*C8</f>
        <v/>
      </c>
      <c r="F8" s="13">
        <f>B8*D8</f>
        <v/>
      </c>
      <c r="G8" s="13">
        <f>(E8+F8)/2</f>
        <v/>
      </c>
    </row>
    <row r="9">
      <c r="A9" s="4" t="inlineStr">
        <is>
          <t>Шкант мебельный 10 мм</t>
        </is>
      </c>
      <c r="B9" s="4" t="n">
        <v>544</v>
      </c>
      <c r="C9" s="4" t="n">
        <v>0.005</v>
      </c>
      <c r="D9" s="4" t="n">
        <v>0.015</v>
      </c>
      <c r="E9" s="13">
        <f>B9*C9</f>
        <v/>
      </c>
      <c r="F9" s="13">
        <f>B9*D9</f>
        <v/>
      </c>
      <c r="G9" s="13">
        <f>(E9+F9)/2</f>
        <v/>
      </c>
    </row>
    <row r="10">
      <c r="A10" s="4" t="inlineStr">
        <is>
          <t>Перемычка-распорка L20</t>
        </is>
      </c>
      <c r="B10" s="4" t="n">
        <v>7028</v>
      </c>
      <c r="C10" s="4" t="n">
        <v>0.05</v>
      </c>
      <c r="D10" s="4" t="n">
        <v>0.12</v>
      </c>
      <c r="E10" s="13">
        <f>B10*C10</f>
        <v/>
      </c>
      <c r="F10" s="13">
        <f>B10*D10</f>
        <v/>
      </c>
      <c r="G10" s="13">
        <f>(E10+F10)/2</f>
        <v/>
      </c>
    </row>
    <row r="11">
      <c r="A11" s="4" t="inlineStr">
        <is>
          <t>Перемычка-распорка расширения</t>
        </is>
      </c>
      <c r="B11" s="4" t="n">
        <v>2920</v>
      </c>
      <c r="C11" s="4" t="n">
        <v>0.08</v>
      </c>
      <c r="D11" s="4" t="n">
        <v>0.18</v>
      </c>
      <c r="E11" s="13">
        <f>B11*C11</f>
        <v/>
      </c>
      <c r="F11" s="13">
        <f>B11*D11</f>
        <v/>
      </c>
      <c r="G11" s="13">
        <f>(E11+F11)/2</f>
        <v/>
      </c>
    </row>
    <row r="12">
      <c r="A12" s="4" t="inlineStr">
        <is>
          <t>Перемычка-распорка L50</t>
        </is>
      </c>
      <c r="B12" s="4" t="n">
        <v>110</v>
      </c>
      <c r="C12" s="4" t="n">
        <v>0.1</v>
      </c>
      <c r="D12" s="4" t="n">
        <v>0.25</v>
      </c>
      <c r="E12" s="13">
        <f>B12*C12</f>
        <v/>
      </c>
      <c r="F12" s="13">
        <f>B12*D12</f>
        <v/>
      </c>
      <c r="G12" s="13">
        <f>(E12+F12)/2</f>
        <v/>
      </c>
    </row>
    <row r="13">
      <c r="A13" s="4" t="inlineStr">
        <is>
          <t>Перемычка-распорка L200</t>
        </is>
      </c>
      <c r="B13" s="4" t="n">
        <v>44</v>
      </c>
      <c r="C13" s="4" t="n">
        <v>0.2</v>
      </c>
      <c r="D13" s="4" t="n">
        <v>0.45</v>
      </c>
      <c r="E13" s="13">
        <f>B13*C13</f>
        <v/>
      </c>
      <c r="F13" s="13">
        <f>B13*D13</f>
        <v/>
      </c>
      <c r="G13" s="13">
        <f>(E13+F13)/2</f>
        <v/>
      </c>
    </row>
    <row r="14">
      <c r="A14" s="4" t="inlineStr">
        <is>
          <t>Перемычка толстая</t>
        </is>
      </c>
      <c r="B14" s="4" t="n">
        <v>144</v>
      </c>
      <c r="C14" s="4" t="n">
        <v>0.2</v>
      </c>
      <c r="D14" s="4" t="n">
        <v>0.45</v>
      </c>
      <c r="E14" s="13">
        <f>B14*C14</f>
        <v/>
      </c>
      <c r="F14" s="13">
        <f>B14*D14</f>
        <v/>
      </c>
      <c r="G14" s="13">
        <f>(E14+F14)/2</f>
        <v/>
      </c>
    </row>
    <row r="15">
      <c r="A15" s="8" t="inlineStr">
        <is>
          <t>ИТОГО КРЕПЁЖ</t>
        </is>
      </c>
      <c r="B15" s="8">
        <f>SUM(B5:B14)</f>
        <v/>
      </c>
      <c r="C15" s="9" t="n"/>
      <c r="D15" s="9" t="n"/>
      <c r="E15" s="14">
        <f>SUM(E5:E14)</f>
        <v/>
      </c>
      <c r="F15" s="14">
        <f>SUM(F5:F14)</f>
        <v/>
      </c>
      <c r="G15" s="14">
        <f>SUM(G5:G14)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5" customWidth="1" min="1" max="1"/>
    <col width="42" customWidth="1" min="2" max="2"/>
    <col width="22" customWidth="1" min="3" max="3"/>
    <col width="14" customWidth="1" min="4" max="4"/>
  </cols>
  <sheetData>
    <row r="1">
      <c r="A1" s="1" t="inlineStr">
        <is>
          <t>ЗАВОДСКАЯ СЕБЕСТОИМОСТЬ КОМПЛЕКТА (ex-works)</t>
        </is>
      </c>
    </row>
    <row r="2">
      <c r="A2" s="12" t="inlineStr">
        <is>
          <t>Двухэтажный дом ~120 м². Прижимы/шканты-15 учтены как расходные. Ставки — серийные.</t>
        </is>
      </c>
    </row>
    <row r="4">
      <c r="A4" s="2" t="inlineStr">
        <is>
          <t>№</t>
        </is>
      </c>
      <c r="B4" s="2" t="inlineStr">
        <is>
          <t>Статья</t>
        </is>
      </c>
      <c r="C4" s="2" t="inlineStr">
        <is>
          <t>Формула</t>
        </is>
      </c>
      <c r="D4" s="2" t="inlineStr">
        <is>
          <t>Сумма,$</t>
        </is>
      </c>
    </row>
    <row r="5">
      <c r="A5" s="4" t="inlineStr">
        <is>
          <t>1</t>
        </is>
      </c>
      <c r="B5" s="4" t="inlineStr">
        <is>
          <t>Дерево, материал</t>
        </is>
      </c>
      <c r="C5" s="4" t="inlineStr">
        <is>
          <t>V×P_wood</t>
        </is>
      </c>
      <c r="D5" s="13">
        <f>Дерево!$H$22*Параметры!$C$4</f>
        <v/>
      </c>
    </row>
    <row r="6">
      <c r="A6" s="4" t="inlineStr">
        <is>
          <t>2</t>
        </is>
      </c>
      <c r="B6" s="4" t="inlineStr">
        <is>
          <t>ЧПУ-обработка (серия)</t>
        </is>
      </c>
      <c r="C6" s="4" t="inlineStr">
        <is>
          <t>N_досок×c_cnc</t>
        </is>
      </c>
      <c r="D6" s="13">
        <f>Дерево!$F$22*Параметры!$C$5</f>
        <v/>
      </c>
    </row>
    <row r="7">
      <c r="A7" s="4" t="inlineStr">
        <is>
          <t>3</t>
        </is>
      </c>
      <c r="B7" s="4" t="inlineStr">
        <is>
          <t>Финишная отделка (серия)</t>
        </is>
      </c>
      <c r="C7" s="4" t="inlineStr">
        <is>
          <t>A_лиц×p_fin</t>
        </is>
      </c>
      <c r="D7" s="13">
        <f>Дерево!$J$22*Параметры!$C$6</f>
        <v/>
      </c>
    </row>
    <row r="8">
      <c r="A8" s="4" t="inlineStr">
        <is>
          <t>4</t>
        </is>
      </c>
      <c r="B8" s="4" t="inlineStr">
        <is>
          <t>Отходы/подбор 12%</t>
        </is>
      </c>
      <c r="C8" s="4" t="inlineStr">
        <is>
          <t>waste×(дерево+ЧПУ)</t>
        </is>
      </c>
      <c r="D8" s="13">
        <f>Параметры!$C$7*(D5+D6)</f>
        <v/>
      </c>
    </row>
    <row r="9">
      <c r="A9" s="4" t="inlineStr">
        <is>
          <t>5</t>
        </is>
      </c>
      <c r="B9" s="4" t="inlineStr">
        <is>
          <t>Крепёж, прижимы, распорки</t>
        </is>
      </c>
      <c r="C9" s="4" t="inlineStr">
        <is>
          <t>Σ(N×цена), средн.</t>
        </is>
      </c>
      <c r="D9" s="13">
        <f>Крепёж!$G$15</f>
        <v/>
      </c>
    </row>
    <row r="10">
      <c r="A10" s="4" t="inlineStr">
        <is>
          <t>6</t>
        </is>
      </c>
      <c r="B10" s="4" t="inlineStr">
        <is>
          <t>Профиль H/угол (как ГКЛ)</t>
        </is>
      </c>
      <c r="C10" s="4" t="inlineStr">
        <is>
          <t>шт×L×$/м</t>
        </is>
      </c>
      <c r="D10" s="13">
        <f>Параметры!$C$17*Параметры!$C$18*Параметры!$C$19</f>
        <v/>
      </c>
    </row>
    <row r="11">
      <c r="A11" s="9" t="n"/>
      <c r="B11" s="8" t="inlineStr">
        <is>
          <t>ПОДЫТОГ</t>
        </is>
      </c>
      <c r="C11" s="9" t="n"/>
      <c r="D11" s="14">
        <f>SUM(D5:D10)</f>
        <v/>
      </c>
    </row>
    <row r="12">
      <c r="A12" s="4" t="inlineStr">
        <is>
          <t>7</t>
        </is>
      </c>
      <c r="B12" s="4" t="inlineStr">
        <is>
          <t>Заводской труд</t>
        </is>
      </c>
      <c r="C12" s="4" t="inlineStr">
        <is>
          <t>подытог×labor</t>
        </is>
      </c>
      <c r="D12" s="13">
        <f>D11*Параметры!$C$8</f>
        <v/>
      </c>
    </row>
    <row r="13">
      <c r="A13" s="4" t="inlineStr">
        <is>
          <t>8</t>
        </is>
      </c>
      <c r="B13" s="4" t="inlineStr">
        <is>
          <t>Накладные</t>
        </is>
      </c>
      <c r="C13" s="4" t="inlineStr">
        <is>
          <t>подытог×oh</t>
        </is>
      </c>
      <c r="D13" s="13">
        <f>D11*Параметры!$C$9</f>
        <v/>
      </c>
    </row>
    <row r="14">
      <c r="A14" s="4" t="inlineStr">
        <is>
          <t>9</t>
        </is>
      </c>
      <c r="B14" s="4" t="inlineStr">
        <is>
          <t>Упаковка/палетизация</t>
        </is>
      </c>
      <c r="C14" s="4" t="inlineStr">
        <is>
          <t>фикс.</t>
        </is>
      </c>
      <c r="D14" s="13">
        <f>Параметры!$C$10</f>
        <v/>
      </c>
    </row>
    <row r="15">
      <c r="A15" s="15" t="n"/>
      <c r="B15" s="16" t="inlineStr">
        <is>
          <t>ИТОГО СЕБЕСТОИМОСТЬ КОМПЛЕКТА (средн.)</t>
        </is>
      </c>
      <c r="C15" s="15" t="n"/>
      <c r="D15" s="17">
        <f>D11+D12+D13+D14</f>
        <v/>
      </c>
    </row>
    <row r="17">
      <c r="B17" s="18" t="inlineStr">
        <is>
          <t>COGS низ (крепёж по нижней цене)</t>
        </is>
      </c>
      <c r="C17" s="19" t="n"/>
      <c r="D17" s="20">
        <f>(D5+D6+D7+D8+D10+Крепёж!$E$15)*(1+Параметры!$C$8+Параметры!$C$9)+Параметры!$C$10</f>
        <v/>
      </c>
    </row>
    <row r="18">
      <c r="B18" s="18" t="inlineStr">
        <is>
          <t>COGS верх (крепёж по верхней цене)</t>
        </is>
      </c>
      <c r="C18" s="19" t="n"/>
      <c r="D18" s="20">
        <f>(D5+D6+D7+D8+D10+Крепёж!$F$15)*(1+Параметры!$C$8+Параметры!$C$9)+Параметры!$C$10</f>
        <v/>
      </c>
    </row>
    <row r="20">
      <c r="B20" s="21" t="inlineStr">
        <is>
          <t>COGS ≈ $31–35K (с профилем). Профиль и пруток — крупнейшие новые статьи.</t>
        </is>
      </c>
    </row>
    <row r="21">
      <c r="B21" s="12" t="inlineStr">
        <is>
          <t>Не входит (на месте): бетон ядра, утеплитель, фундамент, кровля, окна, инженерия.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24" customWidth="1" min="3" max="3"/>
    <col width="14" customWidth="1" min="4" max="4"/>
  </cols>
  <sheetData>
    <row r="1">
      <c r="A1" s="1" t="inlineStr">
        <is>
          <t>ПОЛНАЯ СТОИМОСТЬ ДОМА «ПОД КЛЮЧ» (hard cost)</t>
        </is>
      </c>
    </row>
    <row r="2">
      <c r="A2" s="12" t="inlineStr">
        <is>
          <t>Двухэтажный ~120 м². Комплект — с листа «Сводка» (средн.). Оценка, не оферта.</t>
        </is>
      </c>
    </row>
    <row r="4">
      <c r="A4" s="2" t="inlineStr">
        <is>
          <t>№</t>
        </is>
      </c>
      <c r="B4" s="2" t="inlineStr">
        <is>
          <t>Статья</t>
        </is>
      </c>
      <c r="C4" s="2" t="inlineStr">
        <is>
          <t>Основание</t>
        </is>
      </c>
      <c r="D4" s="2" t="inlineStr">
        <is>
          <t>Сумма,$</t>
        </is>
      </c>
    </row>
    <row r="5">
      <c r="A5" s="4" t="inlineStr">
        <is>
          <t>1</t>
        </is>
      </c>
      <c r="B5" s="4" t="inlineStr">
        <is>
          <t>Стеновой комплект Twisana</t>
        </is>
      </c>
      <c r="C5" s="4" t="inlineStr">
        <is>
          <t>лист «Сводка»</t>
        </is>
      </c>
      <c r="D5" s="13">
        <f>Сводка!$D$15</f>
        <v/>
      </c>
    </row>
    <row r="6">
      <c r="A6" s="4" t="inlineStr">
        <is>
          <t>2</t>
        </is>
      </c>
      <c r="B6" s="4" t="inlineStr">
        <is>
          <t>Бетон в стены (~14 м³)</t>
        </is>
      </c>
      <c r="C6" s="4" t="inlineStr">
        <is>
          <t>на месте</t>
        </is>
      </c>
      <c r="D6" s="13" t="n">
        <v>2800</v>
      </c>
    </row>
    <row r="7">
      <c r="A7" s="4" t="inlineStr">
        <is>
          <t>3</t>
        </is>
      </c>
      <c r="B7" s="4" t="inlineStr">
        <is>
          <t>Утеплитель</t>
        </is>
      </c>
      <c r="C7" s="4" t="inlineStr">
        <is>
          <t>полость</t>
        </is>
      </c>
      <c r="D7" s="13" t="n">
        <v>2500</v>
      </c>
    </row>
    <row r="8">
      <c r="A8" s="4" t="inlineStr">
        <is>
          <t>4</t>
        </is>
      </c>
      <c r="B8" s="4" t="inlineStr">
        <is>
          <t>Фундаментная плита (~60 м²)</t>
        </is>
      </c>
      <c r="C8" s="4" t="inlineStr"/>
      <c r="D8" s="13" t="n">
        <v>4500</v>
      </c>
    </row>
    <row r="9">
      <c r="A9" s="4" t="inlineStr">
        <is>
          <t>5</t>
        </is>
      </c>
      <c r="B9" s="4" t="inlineStr">
        <is>
          <t>Бетон в перекрытия (~6 м³)</t>
        </is>
      </c>
      <c r="C9" s="4" t="inlineStr"/>
      <c r="D9" s="13" t="n">
        <v>1200</v>
      </c>
    </row>
    <row r="10">
      <c r="A10" s="4" t="inlineStr">
        <is>
          <t>6</t>
        </is>
      </c>
      <c r="B10" s="4" t="inlineStr">
        <is>
          <t>Кровля (~70 м²)</t>
        </is>
      </c>
      <c r="C10" s="4" t="inlineStr"/>
      <c r="D10" s="13" t="n">
        <v>5000</v>
      </c>
    </row>
    <row r="11">
      <c r="A11" s="4" t="inlineStr">
        <is>
          <t>7</t>
        </is>
      </c>
      <c r="B11" s="4" t="inlineStr">
        <is>
          <t>Окна и двери</t>
        </is>
      </c>
      <c r="C11" s="4" t="inlineStr"/>
      <c r="D11" s="13" t="n">
        <v>8000</v>
      </c>
    </row>
    <row r="12">
      <c r="A12" s="4" t="inlineStr">
        <is>
          <t>8</t>
        </is>
      </c>
      <c r="B12" s="4" t="inlineStr">
        <is>
          <t>Полы (120 м²)</t>
        </is>
      </c>
      <c r="C12" s="4" t="inlineStr"/>
      <c r="D12" s="13" t="n">
        <v>4000</v>
      </c>
    </row>
    <row r="13">
      <c r="A13" s="4" t="inlineStr">
        <is>
          <t>9</t>
        </is>
      </c>
      <c r="B13" s="4" t="inlineStr">
        <is>
          <t>Инженерия (электр./сантех./ОВиК)</t>
        </is>
      </c>
      <c r="C13" s="4" t="inlineStr">
        <is>
          <t>волатильно</t>
        </is>
      </c>
      <c r="D13" s="13" t="n">
        <v>18000</v>
      </c>
    </row>
    <row r="14">
      <c r="A14" s="4" t="inlineStr">
        <is>
          <t>10</t>
        </is>
      </c>
      <c r="B14" s="4" t="inlineStr">
        <is>
          <t>Монтаж на площадке</t>
        </is>
      </c>
      <c r="C14" s="4" t="inlineStr">
        <is>
          <t>снижен самосборкой</t>
        </is>
      </c>
      <c r="D14" s="13" t="n">
        <v>11000</v>
      </c>
    </row>
    <row r="15">
      <c r="A15" s="9" t="n"/>
      <c r="B15" s="8" t="inlineStr">
        <is>
          <t>Прямые затраты</t>
        </is>
      </c>
      <c r="C15" s="9" t="n"/>
      <c r="D15" s="14">
        <f>SUM(D5:D14)</f>
        <v/>
      </c>
    </row>
    <row r="16">
      <c r="A16" s="4" t="inlineStr">
        <is>
          <t>11</t>
        </is>
      </c>
      <c r="B16" s="4" t="inlineStr">
        <is>
          <t>Резерв 12%</t>
        </is>
      </c>
      <c r="C16" s="4" t="n"/>
      <c r="D16" s="13">
        <f>D15*0.12</f>
        <v/>
      </c>
    </row>
    <row r="17">
      <c r="A17" s="15" t="n"/>
      <c r="B17" s="16" t="inlineStr">
        <is>
          <t>ИТОГО «ПОД КЛЮЧ»</t>
        </is>
      </c>
      <c r="C17" s="15" t="n"/>
      <c r="D17" s="17">
        <f>D15+D16</f>
        <v/>
      </c>
    </row>
    <row r="19">
      <c r="B19" s="4" t="inlineStr">
        <is>
          <t>Жилая площадь, фт²</t>
        </is>
      </c>
      <c r="C19" s="4" t="n"/>
      <c r="D19" s="13">
        <f>Параметры!$C$12*Параметры!$C$15</f>
        <v/>
      </c>
    </row>
    <row r="20">
      <c r="B20" s="4" t="inlineStr">
        <is>
          <t>Рынок США низ</t>
        </is>
      </c>
      <c r="C20" s="4" t="n"/>
      <c r="D20" s="13">
        <f>$D$19*Параметры!$C$13</f>
        <v/>
      </c>
    </row>
    <row r="21">
      <c r="B21" s="4" t="inlineStr">
        <is>
          <t>Рынок США верх</t>
        </is>
      </c>
      <c r="C21" s="4" t="n"/>
      <c r="D21" s="13">
        <f>$D$19*Параметры!$C$14</f>
        <v/>
      </c>
    </row>
    <row r="22">
      <c r="B22" s="4" t="inlineStr">
        <is>
          <t>Дешевле рынка (к верх.)</t>
        </is>
      </c>
      <c r="C22" s="4" t="n"/>
      <c r="D22" s="22">
        <f>1-D17/D21</f>
        <v/>
      </c>
    </row>
    <row r="23">
      <c r="B23" s="4" t="inlineStr">
        <is>
          <t>Во сколько раз (низ…верх)</t>
        </is>
      </c>
      <c r="C23" s="4" t="n"/>
      <c r="D23" s="23">
        <f>D20/D17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40" customWidth="1" min="1" max="1"/>
    <col width="40" customWidth="1" min="2" max="2"/>
    <col width="15" customWidth="1" min="3" max="3"/>
  </cols>
  <sheetData>
    <row r="1">
      <c r="A1" s="1" t="inlineStr">
        <is>
          <t>ЦЕНА ДЛЯ КЛИЕНТА И ПРИБЫЛЬ</t>
        </is>
      </c>
    </row>
    <row r="4">
      <c r="A4" s="2" t="inlineStr">
        <is>
          <t>Показатель</t>
        </is>
      </c>
      <c r="B4" s="2" t="inlineStr">
        <is>
          <t>Основание</t>
        </is>
      </c>
      <c r="C4" s="2" t="inlineStr">
        <is>
          <t>Значение</t>
        </is>
      </c>
    </row>
    <row r="6">
      <c r="A6" s="21" t="inlineStr">
        <is>
          <t>1) ПРОДАЖА КОМПЛЕКТА — доход Twisana</t>
        </is>
      </c>
    </row>
    <row r="7">
      <c r="A7" s="9" t="inlineStr">
        <is>
          <t>Себестоимость комплекта</t>
        </is>
      </c>
      <c r="B7" s="9" t="inlineStr">
        <is>
          <t>лист «Сводка»</t>
        </is>
      </c>
      <c r="C7" s="24">
        <f>Сводка!$D$15</f>
        <v/>
      </c>
    </row>
    <row r="8">
      <c r="A8" s="4" t="inlineStr">
        <is>
          <t>Валовая маржа</t>
        </is>
      </c>
      <c r="B8" s="4" t="inlineStr">
        <is>
          <t>«Параметры»</t>
        </is>
      </c>
      <c r="C8" s="22">
        <f>Параметры!$C$16</f>
        <v/>
      </c>
    </row>
    <row r="9">
      <c r="A9" s="25" t="inlineStr">
        <is>
          <t>Цена комплекта для клиента</t>
        </is>
      </c>
      <c r="B9" s="26" t="inlineStr">
        <is>
          <t>себест./(1−маржа)</t>
        </is>
      </c>
      <c r="C9" s="27">
        <f>Сводка!$D$15/(1-Параметры!$C$16)</f>
        <v/>
      </c>
    </row>
    <row r="10">
      <c r="A10" s="28" t="inlineStr">
        <is>
          <t>Валовая прибыль Twisana/дом</t>
        </is>
      </c>
      <c r="B10" s="15" t="inlineStr">
        <is>
          <t>цена−себест.</t>
        </is>
      </c>
      <c r="C10" s="29">
        <f>C9-C7</f>
        <v/>
      </c>
    </row>
    <row r="12">
      <c r="A12" s="21" t="inlineStr">
        <is>
          <t>2) ДОМ ПОД КЛЮЧ ДЛЯ КЛИЕНТА</t>
        </is>
      </c>
    </row>
    <row r="13">
      <c r="A13" s="4" t="inlineStr">
        <is>
          <t>Цена комплекта (из п.1)</t>
        </is>
      </c>
      <c r="B13" s="4" t="n"/>
      <c r="C13" s="13">
        <f>C9</f>
        <v/>
      </c>
    </row>
    <row r="14">
      <c r="A14" s="4" t="inlineStr">
        <is>
          <t>Прочие работы/материалы</t>
        </is>
      </c>
      <c r="B14" s="4" t="inlineStr">
        <is>
          <t>бетон,фундамент,кровля,MEP,монтаж</t>
        </is>
      </c>
      <c r="C14" s="13">
        <f>'Под ключ'!$D$15-Сводка!$D$15</f>
        <v/>
      </c>
    </row>
    <row r="15">
      <c r="A15" s="4" t="inlineStr">
        <is>
          <t>Резерв 12%</t>
        </is>
      </c>
      <c r="B15" s="4" t="n"/>
      <c r="C15" s="13">
        <f>(C13+C14)*0.12</f>
        <v/>
      </c>
    </row>
    <row r="16">
      <c r="A16" s="28" t="inlineStr">
        <is>
          <t>ИТОГО клиенту под ключ</t>
        </is>
      </c>
      <c r="B16" s="15" t="n"/>
      <c r="C16" s="29">
        <f>C13+C14+C15</f>
        <v/>
      </c>
    </row>
    <row r="18">
      <c r="A18" s="4" t="inlineStr">
        <is>
          <t>Жилая площадь, фт²</t>
        </is>
      </c>
      <c r="B18" s="4" t="n"/>
      <c r="C18" s="13">
        <f>Параметры!$C$12*Параметры!$C$15</f>
        <v/>
      </c>
    </row>
    <row r="19">
      <c r="A19" s="4" t="inlineStr">
        <is>
          <t>Twisana клиенту, $/фт²</t>
        </is>
      </c>
      <c r="B19" s="4" t="n"/>
      <c r="C19" s="13">
        <f>C16/C18</f>
        <v/>
      </c>
    </row>
    <row r="21">
      <c r="A21" s="21" t="inlineStr">
        <is>
          <t>3) СРАВНЕНИЕ С РЫНКОМ</t>
        </is>
      </c>
    </row>
    <row r="22">
      <c r="A22" s="19" t="inlineStr">
        <is>
          <t>Рынок США низ</t>
        </is>
      </c>
      <c r="B22" s="19" t="n"/>
      <c r="C22" s="20">
        <f>C18*Параметры!$C$13</f>
        <v/>
      </c>
    </row>
    <row r="23">
      <c r="A23" s="19" t="inlineStr">
        <is>
          <t>Рынок США верх</t>
        </is>
      </c>
      <c r="B23" s="19" t="n"/>
      <c r="C23" s="20">
        <f>C18*Параметры!$C$14</f>
        <v/>
      </c>
    </row>
    <row r="24">
      <c r="A24" s="28" t="inlineStr">
        <is>
          <t>Клиент платит Twisana</t>
        </is>
      </c>
      <c r="B24" s="15" t="n"/>
      <c r="C24" s="29">
        <f>C16</f>
        <v/>
      </c>
    </row>
    <row r="25">
      <c r="A25" s="4" t="inlineStr">
        <is>
          <t>Дешевле рынка (к верх.)</t>
        </is>
      </c>
      <c r="B25" s="4" t="n"/>
      <c r="C25" s="22">
        <f>1-C16/C23</f>
        <v/>
      </c>
    </row>
    <row r="26">
      <c r="A26" s="4" t="inlineStr">
        <is>
          <t>Во сколько раз (низ…верх)</t>
        </is>
      </c>
      <c r="B26" s="4" t="n"/>
      <c r="C26" s="23">
        <f>C22/C16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</cols>
  <sheetData>
    <row r="1">
      <c r="A1" s="30" t="inlineStr">
        <is>
          <t>КОНТРОЛЬНЫЕ ЗНАЧЕНИЯ (рассчитаны в Python; в Excel/Sheets формулы пересчитаются и совпадут)</t>
        </is>
      </c>
    </row>
    <row r="3">
      <c r="A3" s="2" t="inlineStr">
        <is>
          <t>Показатель</t>
        </is>
      </c>
      <c r="B3" s="2" t="inlineStr">
        <is>
          <t>Значение,$</t>
        </is>
      </c>
    </row>
    <row r="4">
      <c r="A4" s="4" t="inlineStr">
        <is>
          <t>Дерево, материал</t>
        </is>
      </c>
      <c r="B4" s="13" t="n">
        <v>8395</v>
      </c>
    </row>
    <row r="5">
      <c r="A5" s="4" t="inlineStr">
        <is>
          <t>ЧПУ-обработка (4939 дет.)</t>
        </is>
      </c>
      <c r="B5" s="13" t="n">
        <v>2716</v>
      </c>
    </row>
    <row r="6">
      <c r="A6" s="4" t="inlineStr">
        <is>
          <t>Финишная отделка</t>
        </is>
      </c>
      <c r="B6" s="13" t="n">
        <v>2270</v>
      </c>
    </row>
    <row r="7">
      <c r="A7" s="4" t="inlineStr">
        <is>
          <t>Отходы 12%</t>
        </is>
      </c>
      <c r="B7" s="13" t="n">
        <v>1333</v>
      </c>
    </row>
    <row r="8">
      <c r="A8" s="4" t="inlineStr">
        <is>
          <t>Крепёж средн.</t>
        </is>
      </c>
      <c r="B8" s="13" t="n">
        <v>6444</v>
      </c>
    </row>
    <row r="9">
      <c r="A9" s="4" t="inlineStr">
        <is>
          <t>Профиль (металл)</t>
        </is>
      </c>
      <c r="B9" s="13" t="n">
        <v>1801</v>
      </c>
    </row>
    <row r="10">
      <c r="A10" s="4" t="inlineStr">
        <is>
          <t>ПОДЫТОГ средн.</t>
        </is>
      </c>
      <c r="B10" s="13" t="n">
        <v>22959</v>
      </c>
    </row>
    <row r="11">
      <c r="A11" s="4" t="inlineStr">
        <is>
          <t>КОМПЛЕКТ средн.</t>
        </is>
      </c>
      <c r="B11" s="13" t="n">
        <v>30547</v>
      </c>
    </row>
    <row r="12">
      <c r="A12" s="4" t="inlineStr">
        <is>
          <t>КОМПЛЕКТ низ</t>
        </is>
      </c>
      <c r="B12" s="13" t="n">
        <v>27379</v>
      </c>
    </row>
    <row r="13">
      <c r="A13" s="4" t="inlineStr">
        <is>
          <t>КОМПЛЕКТ верх</t>
        </is>
      </c>
      <c r="B13" s="13" t="n">
        <v>33715</v>
      </c>
    </row>
    <row r="14">
      <c r="A14" s="4" t="inlineStr">
        <is>
          <t>Дом под ключ (hard cost)</t>
        </is>
      </c>
      <c r="B14" s="13" t="n">
        <v>98052</v>
      </c>
    </row>
    <row r="15">
      <c r="A15" s="4" t="inlineStr">
        <is>
          <t>Цена комплекта (маржа 52%)</t>
        </is>
      </c>
      <c r="B15" s="13" t="n">
        <v>63639</v>
      </c>
    </row>
    <row r="16">
      <c r="A16" s="4" t="inlineStr">
        <is>
          <t>Прибыль Twisana/дом</t>
        </is>
      </c>
      <c r="B16" s="13" t="n">
        <v>33092</v>
      </c>
    </row>
    <row r="17">
      <c r="A17" s="4" t="inlineStr">
        <is>
          <t>Маржа при цене $38K, %</t>
        </is>
      </c>
      <c r="B17" s="13" t="n">
        <v>20</v>
      </c>
    </row>
    <row r="18">
      <c r="A18" s="4" t="inlineStr">
        <is>
          <t>Клиенту под ключ (с маржой)</t>
        </is>
      </c>
      <c r="B18" s="13" t="n">
        <v>135116</v>
      </c>
    </row>
    <row r="19">
      <c r="A19" s="4" t="inlineStr">
        <is>
          <t>Рынок низ</t>
        </is>
      </c>
      <c r="B19" s="13" t="n">
        <v>193750</v>
      </c>
    </row>
    <row r="20">
      <c r="A20" s="4" t="inlineStr">
        <is>
          <t>Рынок верх</t>
        </is>
      </c>
      <c r="B20" s="13" t="n">
        <v>387500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11" customWidth="1" min="1" max="1"/>
    <col width="46" customWidth="1" min="2" max="2"/>
    <col width="13" customWidth="1" min="3" max="3"/>
    <col width="13" customWidth="1" min="4" max="4"/>
    <col width="13" customWidth="1" min="5" max="5"/>
  </cols>
  <sheetData>
    <row r="1">
      <c r="A1" s="1" t="inlineStr">
        <is>
          <t>СЕБЕСТОИМОСТЬ ПЕРЕДЕЛА — bottom-up по автолинии</t>
        </is>
      </c>
    </row>
    <row r="2">
      <c r="A2" s="12" t="inlineStr">
        <is>
          <t>Заменяет допущения ($0,55/деталь, труд 18%, накл. 12%) реальной моделью: capex+ЗП+энергия+аренда → $/дом. Все входы редактируемые.</t>
        </is>
      </c>
    </row>
    <row r="4">
      <c r="A4" s="2" t="inlineStr">
        <is>
          <t>Ключ</t>
        </is>
      </c>
      <c r="B4" s="2" t="inlineStr">
        <is>
          <t>Параметр (редактируется)</t>
        </is>
      </c>
      <c r="C4" s="2" t="inlineStr">
        <is>
          <t>Значение</t>
        </is>
      </c>
    </row>
    <row r="5">
      <c r="A5" s="31" t="inlineStr">
        <is>
          <t>capex</t>
        </is>
      </c>
      <c r="B5" s="4" t="inlineStr">
        <is>
          <t>Capex линии (б/у, средн.), $</t>
        </is>
      </c>
      <c r="C5" s="4" t="n">
        <v>1500000</v>
      </c>
    </row>
    <row r="6">
      <c r="A6" s="31" t="inlineStr">
        <is>
          <t>amort_y</t>
        </is>
      </c>
      <c r="B6" s="4" t="inlineStr">
        <is>
          <t>Срок амортизации, лет</t>
        </is>
      </c>
      <c r="C6" s="4" t="n">
        <v>7</v>
      </c>
    </row>
    <row r="7">
      <c r="A7" s="31" t="inlineStr">
        <is>
          <t>heads</t>
        </is>
      </c>
      <c r="B7" s="4" t="inlineStr">
        <is>
          <t>Персонал всего, чел</t>
        </is>
      </c>
      <c r="C7" s="4" t="n">
        <v>7</v>
      </c>
    </row>
    <row r="8">
      <c r="A8" s="31" t="inlineStr">
        <is>
          <t>salary</t>
        </is>
      </c>
      <c r="B8" s="4" t="inlineStr">
        <is>
          <t>ЗП загруженная, $/чел·год</t>
        </is>
      </c>
      <c r="C8" s="4" t="n">
        <v>55000</v>
      </c>
    </row>
    <row r="9">
      <c r="A9" s="31" t="inlineStr">
        <is>
          <t>rent</t>
        </is>
      </c>
      <c r="B9" s="4" t="inlineStr">
        <is>
          <t>Аренда завода, $/год</t>
        </is>
      </c>
      <c r="C9" s="4" t="n">
        <v>170000</v>
      </c>
    </row>
    <row r="10">
      <c r="A10" s="31" t="inlineStr">
        <is>
          <t>maint</t>
        </is>
      </c>
      <c r="B10" s="4" t="inlineStr">
        <is>
          <t>Обслуживание, % capex/год</t>
        </is>
      </c>
      <c r="C10" s="4" t="n">
        <v>0.05</v>
      </c>
    </row>
    <row r="11">
      <c r="A11" s="31" t="inlineStr">
        <is>
          <t>var_part</t>
        </is>
      </c>
      <c r="B11" s="4" t="inlineStr">
        <is>
          <t>Переменные (энергия+расходники), $/деталь</t>
        </is>
      </c>
      <c r="C11" s="4" t="n">
        <v>0.35</v>
      </c>
    </row>
    <row r="12">
      <c r="A12" s="31" t="inlineStr">
        <is>
          <t>pack</t>
        </is>
      </c>
      <c r="B12" s="4" t="inlineStr">
        <is>
          <t>Упаковка, $/дом</t>
        </is>
      </c>
      <c r="C12" s="4" t="n">
        <v>700</v>
      </c>
    </row>
    <row r="13">
      <c r="A13" s="31" t="inlineStr">
        <is>
          <t>parts_h</t>
        </is>
      </c>
      <c r="B13" s="4" t="inlineStr">
        <is>
          <t>Деталей на дом</t>
        </is>
      </c>
      <c r="C13" s="4" t="n">
        <v>4939</v>
      </c>
    </row>
    <row r="15">
      <c r="B15" s="31" t="inlineStr">
        <is>
          <t>Амортизация/год</t>
        </is>
      </c>
      <c r="C15" s="13">
        <f>C5/C6</f>
        <v/>
      </c>
    </row>
    <row r="16">
      <c r="B16" s="4" t="inlineStr">
        <is>
          <t>ЗП/год</t>
        </is>
      </c>
      <c r="C16" s="13">
        <f>C7*C8</f>
        <v/>
      </c>
    </row>
    <row r="17">
      <c r="B17" s="4" t="inlineStr">
        <is>
          <t>Аренда/год</t>
        </is>
      </c>
      <c r="C17" s="13">
        <f>C9</f>
        <v/>
      </c>
    </row>
    <row r="18">
      <c r="B18" s="4" t="inlineStr">
        <is>
          <t>Обслуживание/год</t>
        </is>
      </c>
      <c r="C18" s="13">
        <f>C10*C5</f>
        <v/>
      </c>
    </row>
    <row r="19">
      <c r="B19" s="31" t="inlineStr">
        <is>
          <t>ФИКСИРОВАННЫЕ/год (Σ)</t>
        </is>
      </c>
      <c r="C19" s="24">
        <f>C15+C16+C17+C18</f>
        <v/>
      </c>
    </row>
    <row r="20">
      <c r="B20" s="4" t="inlineStr">
        <is>
          <t>Материалы на дом (дерево+отходы+крепёж+профиль)</t>
        </is>
      </c>
      <c r="C20" s="13">
        <f>Сводка!D5+Сводка!D8+Сводка!D9+Сводка!D10</f>
        <v/>
      </c>
    </row>
    <row r="22">
      <c r="A22" s="2" t="inlineStr"/>
      <c r="B22" s="2" t="inlineStr">
        <is>
          <t>Показатель</t>
        </is>
      </c>
      <c r="C22" s="32" t="n">
        <v>60</v>
      </c>
      <c r="D22" s="32" t="n">
        <v>200</v>
      </c>
      <c r="E22" s="33" t="n">
        <v>500</v>
      </c>
    </row>
    <row r="23">
      <c r="B23" s="4" t="inlineStr">
        <is>
          <t>Деталей/год</t>
        </is>
      </c>
      <c r="C23" s="13">
        <f>C22*$C$13</f>
        <v/>
      </c>
      <c r="D23" s="13">
        <f>D22*$C$13</f>
        <v/>
      </c>
      <c r="E23" s="13">
        <f>E22*$C$13</f>
        <v/>
      </c>
    </row>
    <row r="24">
      <c r="B24" s="4" t="inlineStr">
        <is>
          <t>Конверсия на дом, $</t>
        </is>
      </c>
      <c r="C24" s="13">
        <f>$C$19/C22+$C$11*$C$13+$C$12</f>
        <v/>
      </c>
      <c r="D24" s="13">
        <f>$C$19/D22+$C$11*$C$13+$C$12</f>
        <v/>
      </c>
      <c r="E24" s="13">
        <f>$C$19/E22+$C$11*$C$13+$C$12</f>
        <v/>
      </c>
    </row>
    <row r="25">
      <c r="B25" s="31" t="inlineStr">
        <is>
          <t>КОМПЛЕКТ COGS/дом, $</t>
        </is>
      </c>
      <c r="C25" s="29">
        <f>$C$20+C24</f>
        <v/>
      </c>
      <c r="D25" s="29">
        <f>$C$20+D24</f>
        <v/>
      </c>
      <c r="E25" s="29">
        <f>$C$20+E24</f>
        <v/>
      </c>
    </row>
    <row r="26">
      <c r="B26" s="4" t="inlineStr">
        <is>
          <t>Маржа при цене $42K</t>
        </is>
      </c>
      <c r="C26" s="22">
        <f>(42000-C25)/42000</f>
        <v/>
      </c>
      <c r="D26" s="22">
        <f>(42000-D25)/42000</f>
        <v/>
      </c>
      <c r="E26" s="22">
        <f>(42000-E25)/42000</f>
        <v/>
      </c>
    </row>
    <row r="28">
      <c r="B28" s="12" t="inlineStr">
        <is>
          <t>Вывод: автолиния даёт экономию НА ОБЪЁМЕ. При 60 домах передел дорогой (недогруз),</t>
        </is>
      </c>
    </row>
    <row r="29">
      <c r="B29" s="12" t="inlineStr">
        <is>
          <t>при 200–500 — резко дешевле допущения. Плоский $30,5K — консервативная серединная оценка.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2026-06-22T23:36:16Z</dcterms:created>
  <dcterms:modified xmlns:dcterms="http://purl.org/dc/terms/" xmlns:xsi="http://www.w3.org/2001/XMLSchema-instance" xsi:type="dcterms:W3CDTF">2026-06-22T23:36:16Z</dcterms:modified>
</cp:coreProperties>
</file>