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Допущения" sheetId="1" state="visible" r:id="rId1"/>
    <sheet xmlns:r="http://schemas.openxmlformats.org/officeDocument/2006/relationships" name="Финансирование" sheetId="2" state="visible" r:id="rId2"/>
    <sheet xmlns:r="http://schemas.openxmlformats.org/officeDocument/2006/relationships" name="Юнит-экономика" sheetId="3" state="visible" r:id="rId3"/>
    <sheet xmlns:r="http://schemas.openxmlformats.org/officeDocument/2006/relationships" name="P&amp;L сценарии" sheetId="4" state="visible" r:id="rId4"/>
    <sheet xmlns:r="http://schemas.openxmlformats.org/officeDocument/2006/relationships" name="Цена для клиента" sheetId="5" state="visible" r:id="rId5"/>
    <sheet xmlns:r="http://schemas.openxmlformats.org/officeDocument/2006/relationships" name="Кэш-фло 24 мес" sheetId="6" state="visible" r:id="rId6"/>
    <sheet xmlns:r="http://schemas.openxmlformats.org/officeDocument/2006/relationships" name="Рынок и выводы" sheetId="7" state="visible" r:id="rId7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\$#,##0;&quot;($&quot;#,##0\);\-"/>
    <numFmt numFmtId="165" formatCode="#,##0;\(#,##0\);\-"/>
    <numFmt numFmtId="166" formatCode="0.0%"/>
    <numFmt numFmtId="167" formatCode="\$#,##0.00;&quot;($&quot;#,##0.00\);\-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sz val="14"/>
    </font>
    <font>
      <name val="Arial"/>
      <charset val="1"/>
      <family val="0"/>
      <b val="1"/>
      <color rgb="FF000000"/>
      <sz val="11"/>
    </font>
    <font>
      <name val="Arial"/>
      <charset val="1"/>
      <family val="0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sz val="11"/>
    </font>
    <font>
      <name val="Arial"/>
      <charset val="1"/>
      <family val="0"/>
      <color rgb="FF000000"/>
      <sz val="11"/>
    </font>
    <font>
      <name val="Arial"/>
      <charset val="1"/>
      <family val="0"/>
      <i val="1"/>
      <color rgb="FF808080"/>
      <sz val="11"/>
    </font>
    <font>
      <name val="Arial"/>
      <family val="2"/>
      <sz val="10"/>
    </font>
    <font>
      <name val="Arial"/>
      <charset val="1"/>
      <family val="0"/>
      <color rgb="FF008000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1"/>
    </font>
    <font>
      <b val="1"/>
    </font>
  </fonts>
  <fills count="7">
    <fill>
      <patternFill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305496"/>
        <bgColor rgb="FF666699"/>
      </patternFill>
    </fill>
    <fill>
      <patternFill patternType="solid">
        <fgColor rgb="FFE2EFDA"/>
        <bgColor rgb="FFD9E1F2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8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164" fontId="9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9" fillId="0" borderId="1" applyAlignment="1" pivotButton="0" quotePrefix="0" xfId="0">
      <alignment horizontal="general" vertical="bottom"/>
    </xf>
    <xf numFmtId="165" fontId="7" fillId="0" borderId="1" applyAlignment="1" pivotButton="0" quotePrefix="0" xfId="0">
      <alignment horizontal="general" vertical="bottom"/>
    </xf>
    <xf numFmtId="166" fontId="7" fillId="0" borderId="1" applyAlignment="1" pivotButton="0" quotePrefix="0" xfId="0">
      <alignment horizontal="general" vertical="bottom"/>
    </xf>
    <xf numFmtId="165" fontId="7" fillId="3" borderId="1" applyAlignment="1" pivotButton="0" quotePrefix="0" xfId="0">
      <alignment horizontal="general" vertical="bottom"/>
    </xf>
    <xf numFmtId="167" fontId="7" fillId="0" borderId="1" applyAlignment="1" pivotButton="0" quotePrefix="0" xfId="0">
      <alignment horizontal="general" vertical="bottom"/>
    </xf>
    <xf numFmtId="167" fontId="5" fillId="0" borderId="1" applyAlignment="1" pivotButton="0" quotePrefix="0" xfId="0">
      <alignment horizontal="general" vertical="bottom"/>
    </xf>
    <xf numFmtId="165" fontId="5" fillId="0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general" vertical="bottom"/>
    </xf>
    <xf numFmtId="166" fontId="12" fillId="0" borderId="1" applyAlignment="1" pivotButton="0" quotePrefix="0" xfId="0">
      <alignment horizontal="general" vertical="bottom"/>
    </xf>
    <xf numFmtId="165" fontId="12" fillId="0" borderId="1" applyAlignment="1" pivotButton="0" quotePrefix="0" xfId="0">
      <alignment horizontal="general" vertical="bottom"/>
    </xf>
    <xf numFmtId="166" fontId="9" fillId="0" borderId="1" applyAlignment="1" pivotButton="0" quotePrefix="0" xfId="0">
      <alignment horizontal="general" vertical="bottom"/>
    </xf>
    <xf numFmtId="167" fontId="12" fillId="0" borderId="1" applyAlignment="1" pivotButton="0" quotePrefix="0" xfId="0">
      <alignment horizontal="general" vertical="bottom"/>
    </xf>
    <xf numFmtId="167" fontId="9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13" fillId="4" borderId="0" applyAlignment="1" pivotButton="0" quotePrefix="0" xfId="0">
      <alignment horizontal="general" vertical="bottom"/>
    </xf>
    <xf numFmtId="0" fontId="13" fillId="4" borderId="0" applyAlignment="1" pivotButton="0" quotePrefix="0" xfId="0">
      <alignment horizontal="center" vertical="bottom"/>
    </xf>
    <xf numFmtId="164" fontId="5" fillId="5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8" fillId="2" borderId="0" applyAlignment="1" pivotButton="0" quotePrefix="0" xfId="0">
      <alignment horizontal="general" vertical="bottom"/>
    </xf>
    <xf numFmtId="2" fontId="9" fillId="0" borderId="1" applyAlignment="1" pivotButton="0" quotePrefix="0" xfId="0">
      <alignment horizontal="general" vertical="bottom"/>
    </xf>
    <xf numFmtId="165" fontId="8" fillId="0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0" fontId="14" fillId="4" borderId="1" applyAlignment="1" pivotButton="0" quotePrefix="0" xfId="0">
      <alignment horizontal="center" vertical="bottom" wrapText="1"/>
    </xf>
    <xf numFmtId="0" fontId="6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2" fontId="7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2" fontId="0" fillId="0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top" wrapText="1"/>
    </xf>
    <xf numFmtId="0" fontId="5" fillId="2" borderId="0" applyAlignment="1" pivotButton="0" quotePrefix="0" xfId="0">
      <alignment horizontal="general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8" fillId="2" borderId="0" applyAlignment="1" pivotButton="0" quotePrefix="0" xfId="0">
      <alignment horizontal="general" vertical="bottom"/>
    </xf>
    <xf numFmtId="164" fontId="9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5" fontId="7" fillId="0" borderId="1" applyAlignment="1" pivotButton="0" quotePrefix="0" xfId="0">
      <alignment horizontal="general" vertical="bottom"/>
    </xf>
    <xf numFmtId="166" fontId="7" fillId="0" borderId="1" applyAlignment="1" pivotButton="0" quotePrefix="0" xfId="0">
      <alignment horizontal="general" vertical="bottom"/>
    </xf>
    <xf numFmtId="165" fontId="7" fillId="3" borderId="1" applyAlignment="1" pivotButton="0" quotePrefix="0" xfId="0">
      <alignment horizontal="general" vertical="bottom"/>
    </xf>
    <xf numFmtId="167" fontId="7" fillId="0" borderId="1" applyAlignment="1" pivotButton="0" quotePrefix="0" xfId="0">
      <alignment horizontal="general" vertical="bottom"/>
    </xf>
    <xf numFmtId="167" fontId="5" fillId="0" borderId="1" applyAlignment="1" pivotButton="0" quotePrefix="0" xfId="0">
      <alignment horizontal="general" vertical="bottom"/>
    </xf>
    <xf numFmtId="165" fontId="5" fillId="0" borderId="1" applyAlignment="1" pivotButton="0" quotePrefix="0" xfId="0">
      <alignment horizontal="general" vertical="bottom"/>
    </xf>
    <xf numFmtId="3" fontId="7" fillId="6" borderId="1" applyAlignment="1" pivotButton="0" quotePrefix="0" xfId="0">
      <alignment horizontal="general" vertical="bottom"/>
    </xf>
    <xf numFmtId="3" fontId="5" fillId="6" borderId="1" applyAlignment="1" pivotButton="0" quotePrefix="0" xfId="0">
      <alignment horizontal="general" vertical="bottom"/>
    </xf>
    <xf numFmtId="3" fontId="0" fillId="6" borderId="0" pivotButton="0" quotePrefix="0" xfId="0"/>
    <xf numFmtId="0" fontId="10" fillId="0" borderId="0" applyAlignment="1" pivotButton="0" quotePrefix="0" xfId="0">
      <alignment horizontal="general" vertical="bottom"/>
    </xf>
    <xf numFmtId="3" fontId="15" fillId="0" borderId="0" pivotButton="0" quotePrefix="0" xfId="0"/>
    <xf numFmtId="164" fontId="12" fillId="0" borderId="1" applyAlignment="1" pivotButton="0" quotePrefix="0" xfId="0">
      <alignment horizontal="general" vertical="bottom"/>
    </xf>
    <xf numFmtId="166" fontId="12" fillId="0" borderId="1" applyAlignment="1" pivotButton="0" quotePrefix="0" xfId="0">
      <alignment horizontal="general" vertical="bottom"/>
    </xf>
    <xf numFmtId="165" fontId="12" fillId="0" borderId="1" applyAlignment="1" pivotButton="0" quotePrefix="0" xfId="0">
      <alignment horizontal="general" vertical="bottom"/>
    </xf>
    <xf numFmtId="166" fontId="9" fillId="0" borderId="1" applyAlignment="1" pivotButton="0" quotePrefix="0" xfId="0">
      <alignment horizontal="general" vertical="bottom"/>
    </xf>
    <xf numFmtId="167" fontId="12" fillId="0" borderId="1" applyAlignment="1" pivotButton="0" quotePrefix="0" xfId="0">
      <alignment horizontal="general" vertical="bottom"/>
    </xf>
    <xf numFmtId="167" fontId="9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13" fillId="4" borderId="0" applyAlignment="1" pivotButton="0" quotePrefix="0" xfId="0">
      <alignment horizontal="general" vertical="bottom"/>
    </xf>
    <xf numFmtId="0" fontId="13" fillId="4" borderId="0" applyAlignment="1" pivotButton="0" quotePrefix="0" xfId="0">
      <alignment horizontal="center" vertical="bottom"/>
    </xf>
    <xf numFmtId="164" fontId="5" fillId="5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2" fontId="9" fillId="0" borderId="1" applyAlignment="1" pivotButton="0" quotePrefix="0" xfId="0">
      <alignment horizontal="general" vertical="bottom"/>
    </xf>
    <xf numFmtId="165" fontId="8" fillId="0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0" fontId="14" fillId="4" borderId="1" applyAlignment="1" pivotButton="0" quotePrefix="0" xfId="0">
      <alignment horizontal="center" vertical="bottom" wrapText="1"/>
    </xf>
    <xf numFmtId="0" fontId="6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2" fontId="7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2" fontId="0" fillId="0" borderId="1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top" wrapText="1"/>
    </xf>
    <xf numFmtId="0" fontId="5" fillId="2" borderId="0" applyAlignment="1" pivotButton="0" quotePrefix="0" xfId="0">
      <alignment horizontal="general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Unknown Author</author>
  </authors>
  <commentList>
    <comment ref="B4" authorId="0" shapeId="0">
      <text>
        <t>Source: Wide Image Solutions / Epson US, 2026 — street $85–95K, MSRP &lt;$100K. https://wideimagesolutions.com</t>
      </text>
    </comment>
    <comment ref="E5" authorId="0" shapeId="0">
      <text>
        <t>Source: Laguna/Woodcraft 2026 — $2,999; 25" за проход, 110В 1ф</t>
      </text>
    </comment>
    <comment ref="E6" authorId="0" shapeId="0">
      <text>
        <t>Redwood/cedar обычно S4S (уже строганы); планер для сырого стока и равной толщины под тайлинг</t>
      </text>
    </comment>
    <comment ref="B7" authorId="0" shapeId="0">
      <text>
        <t>Source: itsupplies 2024 — банки 1л по $150, 10 цветов</t>
      </text>
    </comment>
    <comment ref="E7" authorId="0" shapeId="0">
      <text>
        <t>Регистрация досок под совмещение тайлов</t>
      </text>
    </comment>
    <comment ref="B11" authorId="0" shapeId="0">
      <text>
        <t>Source: Crestmont Capital 2026 — типично 24–84 мес</t>
      </text>
    </comment>
    <comment ref="B12" authorId="0" shapeId="0">
      <text>
        <t>Equipment loan ~8–12% годовых, 2026</t>
      </text>
    </comment>
    <comment ref="B13" authorId="0" shapeId="0">
      <text>
        <t>10–20% типичный down</t>
      </text>
    </comment>
    <comment ref="B14" authorId="0" shapeId="0">
      <text>
        <t>Лизинг обычно дороже кредита, 0 down</t>
      </text>
    </comment>
    <comment ref="B15" authorId="0" shapeId="0">
      <text>
        <t>Меняет строку «платёж за оборудование» в P&amp;L</t>
      </text>
    </comment>
    <comment ref="B18" authorId="0" shapeId="0">
      <text>
        <t>Премиум: перманент, кастом, нет локальных конкурентов. Винил-мурал $8–20/фут² для сравнения</t>
      </text>
    </comment>
    <comment ref="B19" authorId="0" shapeId="0">
      <text>
        <t>Вывески, ACM, акрил, real-estate — bread&amp;butter</t>
      </text>
    </comment>
    <comment ref="B24" authorId="0" shapeId="0">
      <text>
        <t>Source: itsupplies 2024 — $0.15/мл; белила+заливка ~$0.82/фут² макс., реальный мурал ~$0.5–0.7</t>
      </text>
    </comment>
    <comment ref="B25" authorId="0" shapeId="0">
      <text>
        <t>Часть джобов — субстрат клиента; дерево redwood закладываем частично</t>
      </text>
    </comment>
    <comment ref="B31" authorId="0" shapeId="0">
      <text>
        <t>Source: itsupplies 2024 — 2.66 фут² за 4:25 в Quality Bi-Di</t>
      </text>
    </comment>
    <comment ref="B33" authorId="0" shapeId="0">
      <text>
        <t>Соло также продаёт/проектирует/доставляет</t>
      </text>
    </comment>
    <comment ref="B38" authorId="0" shapeId="0">
      <text>
        <t>Можно снизить, если своя площадь</t>
      </text>
    </comment>
    <comment ref="B43" authorId="0" shapeId="0">
      <text>
        <t>Срок голов 1–3 года, замена дорогая</t>
      </text>
    </comment>
  </commentList>
</comments>
</file>

<file path=xl/comments/comment2.xml><?xml version="1.0" encoding="utf-8"?>
<comments xmlns="http://schemas.openxmlformats.org/spreadsheetml/2006/main">
  <authors>
    <author>Unknown Author</author>
  </authors>
  <commentList>
    <comment ref="B14" authorId="0" shapeId="0">
      <text>
        <t>Премиум поверх базового забора $45–55/фут в Сакраменто</t>
      </text>
    </comment>
  </commentList>
</comments>
</file>

<file path=xl/comments/comment3.xml><?xml version="1.0" encoding="utf-8"?>
<comments xmlns="http://schemas.openxmlformats.org/spreadsheetml/2006/main">
  <authors>
    <author>Unknown Author</author>
  </authors>
  <commentList>
    <comment ref="A4" authorId="0" shapeId="0">
      <text>
        <t>Консерв=рамп; Базовый=предел соло; Агрессивный=с помощником</t>
      </text>
    </comment>
    <comment ref="A22" authorId="0" shapeId="0">
      <text>
        <t>Грубо: весь CapEx / месячную чистую прибыль</t>
      </text>
    </comment>
    <comment ref="A24" authorId="0" shapeId="0">
      <text>
        <t>Чистая прибыль/мес ÷ рабочих дней</t>
      </text>
    </comment>
  </commentList>
</comments>
</file>

<file path=xl/comments/comment4.xml><?xml version="1.0" encoding="utf-8"?>
<comments xmlns="http://schemas.openxmlformats.org/spreadsheetml/2006/main">
  <authors>
    <author>Unknown Author</author>
  </authors>
  <commentList>
    <comment ref="B4" authorId="0" shapeId="0">
      <text>
        <t>Типичный проект в Сакраменто ~150 фут</t>
      </text>
    </comment>
    <comment ref="E4" authorId="0" shapeId="0">
      <text>
        <t>Двусторонний мурал: печать обоих лиц забора</t>
      </text>
    </comment>
    <comment ref="E5" authorId="0" shapeId="0">
      <text>
        <t>Дизайн уже оплачен; печать/чернила/лак всё равно полные</t>
      </text>
    </comment>
    <comment ref="B6" authorId="0" shapeId="0">
      <text>
        <t>Source: VMK/Fantastic Fence 2026 — Сакраменто wood privacy $45–55/фут; premium redwood $70–120/фут</t>
      </text>
    </comment>
    <comment ref="E6" authorId="0" shapeId="0">
      <text>
        <t>CA: общий пограничный забор делится 50/50 по согласию</t>
      </text>
    </comment>
    <comment ref="B8" authorId="0" shapeId="0">
      <text>
        <t>Дизайн+приладка для малых площадей</t>
      </text>
    </comment>
  </commentList>
</comments>
</file>

<file path=xl/comments/comment5.xml><?xml version="1.0" encoding="utf-8"?>
<comments xmlns="http://schemas.openxmlformats.org/spreadsheetml/2006/main">
  <authors>
    <author>Unknown Author</author>
  </authors>
  <commentList>
    <comment ref="B3" authorId="0" shapeId="0">
      <text>
        <t>Запуск весной — старт сезона забора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5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6" customWidth="1" style="54" min="1" max="1"/>
    <col width="16" customWidth="1" style="54" min="2" max="2"/>
    <col width="40" customWidth="1" style="54" min="3" max="3"/>
    <col width="36" customWidth="1" style="54" min="4" max="4"/>
    <col width="12" customWidth="1" style="54" min="5" max="5"/>
  </cols>
  <sheetData>
    <row r="1" ht="17.25" customHeight="1" s="55">
      <c r="A1" s="56" t="inlineStr">
        <is>
          <t>Финмодель: UV-печать по заборным доскам — Gravity LLC</t>
        </is>
      </c>
    </row>
    <row r="3" ht="15" customHeight="1" s="55">
      <c r="A3" s="57" t="inlineStr">
        <is>
          <t>CAPEX (стартовые вложения)</t>
        </is>
      </c>
      <c r="B3" s="58" t="n"/>
      <c r="C3" s="58" t="n"/>
    </row>
    <row r="4" ht="15" customHeight="1" s="55">
      <c r="A4" s="59" t="inlineStr">
        <is>
          <t>Станок UV-флэтбед (Epson V7000 класс)</t>
        </is>
      </c>
      <c r="B4" s="60" t="n">
        <v>90000</v>
      </c>
      <c r="D4" s="61" t="inlineStr">
        <is>
          <t>ДЕТАЛИЗАЦИЯ ОСНАСТКИ</t>
        </is>
      </c>
      <c r="E4" s="58" t="n"/>
    </row>
    <row r="5" ht="15" customHeight="1" s="55">
      <c r="A5" s="59" t="inlineStr">
        <is>
          <t>Доставка / монтаж / обучение</t>
        </is>
      </c>
      <c r="B5" s="60" t="n">
        <v>6000</v>
      </c>
      <c r="D5" s="59" t="inlineStr">
        <is>
          <t>Шлиф-станок SuperMax 25-50</t>
        </is>
      </c>
      <c r="E5" s="60" t="n">
        <v>3000</v>
      </c>
    </row>
    <row r="6" ht="15" customHeight="1" s="55">
      <c r="A6" s="59" t="inlineStr">
        <is>
          <t>Оснастка (детализация справа →)</t>
        </is>
      </c>
      <c r="B6" s="62">
        <f>E9</f>
        <v/>
      </c>
      <c r="D6" s="59" t="inlineStr">
        <is>
          <t>Планер (опц., при сыром дереве)</t>
        </is>
      </c>
      <c r="E6" s="60" t="n">
        <v>1000</v>
      </c>
    </row>
    <row r="7" ht="15" customHeight="1" s="55">
      <c r="A7" s="59" t="inlineStr">
        <is>
          <t>Стартовые чернила + расходники</t>
        </is>
      </c>
      <c r="B7" s="60" t="n">
        <v>2000</v>
      </c>
      <c r="D7" s="59" t="inlineStr">
        <is>
          <t>Джиги, упоры, вакуум-приспособы</t>
        </is>
      </c>
      <c r="E7" s="60" t="n">
        <v>700</v>
      </c>
    </row>
    <row r="8" ht="15" customHeight="1" s="55">
      <c r="A8" s="59" t="inlineStr">
        <is>
          <t>ИТОГО CapEx</t>
        </is>
      </c>
      <c r="B8" s="63">
        <f>SUM(B4:B7)</f>
        <v/>
      </c>
      <c r="D8" s="59" t="inlineStr">
        <is>
          <t>RIP / доп. ПО</t>
        </is>
      </c>
      <c r="E8" s="60" t="n">
        <v>300</v>
      </c>
    </row>
    <row r="9" ht="15" customHeight="1" s="55">
      <c r="D9" s="64" t="inlineStr">
        <is>
          <t>ИТОГО оснастка</t>
        </is>
      </c>
      <c r="E9" s="62">
        <f>SUM(E5:E8)</f>
        <v/>
      </c>
    </row>
    <row r="10" ht="15" customHeight="1" s="55">
      <c r="A10" s="57" t="inlineStr">
        <is>
          <t>ФИНАНСИРОВАНИЕ</t>
        </is>
      </c>
      <c r="B10" s="58" t="n"/>
      <c r="C10" s="58" t="n"/>
    </row>
    <row r="11" ht="15" customHeight="1" s="55">
      <c r="A11" s="59" t="inlineStr">
        <is>
          <t>Срок финансирования, мес</t>
        </is>
      </c>
      <c r="B11" s="65" t="n">
        <v>60</v>
      </c>
    </row>
    <row r="12" ht="15" customHeight="1" s="55">
      <c r="A12" s="59" t="inlineStr">
        <is>
          <t>Ставка покупка/банк, % год.</t>
        </is>
      </c>
      <c r="B12" s="66" t="n">
        <v>0.09</v>
      </c>
    </row>
    <row r="13" ht="15" customHeight="1" s="55">
      <c r="A13" s="59" t="inlineStr">
        <is>
          <t>Первый взнос (покупка), %</t>
        </is>
      </c>
      <c r="B13" s="66" t="n">
        <v>0.1</v>
      </c>
    </row>
    <row r="14" ht="15" customHeight="1" s="55">
      <c r="A14" s="59" t="inlineStr">
        <is>
          <t>Ставка лизинг ($1-buyout), % год.</t>
        </is>
      </c>
      <c r="B14" s="66" t="n">
        <v>0.11</v>
      </c>
    </row>
    <row r="15" ht="15" customHeight="1" s="55">
      <c r="A15" s="59" t="inlineStr">
        <is>
          <t>Выбор финансирования (1=покупка, 2=лизинг)</t>
        </is>
      </c>
      <c r="B15" s="67" t="n">
        <v>1</v>
      </c>
    </row>
    <row r="17" ht="15" customHeight="1" s="55">
      <c r="A17" s="57" t="inlineStr">
        <is>
          <t>ЦЕНА ПРОДАЖИ (sell price)</t>
        </is>
      </c>
      <c r="B17" s="58" t="n"/>
      <c r="C17" s="58" t="n"/>
    </row>
    <row r="18" ht="15" customHeight="1" s="55">
      <c r="A18" s="59" t="inlineStr">
        <is>
          <t>Печать по дереву / мурал, $/фут²</t>
        </is>
      </c>
      <c r="B18" s="68" t="n">
        <v>30</v>
      </c>
    </row>
    <row r="19" ht="15" customHeight="1" s="55">
      <c r="A19" s="59" t="inlineStr">
        <is>
          <t>Общий флэтбед-джоббинг, $/фут²</t>
        </is>
      </c>
      <c r="B19" s="68" t="n">
        <v>12</v>
      </c>
    </row>
    <row r="20" ht="15" customHeight="1" s="55">
      <c r="A20" s="59" t="inlineStr">
        <is>
          <t>Доля «дерево/мурал» в выручке, %</t>
        </is>
      </c>
      <c r="B20" s="66" t="n">
        <v>0.5</v>
      </c>
    </row>
    <row r="21" ht="15" customHeight="1" s="55">
      <c r="A21" s="59" t="inlineStr">
        <is>
          <t>Блендед цена продажи, $/фут²</t>
        </is>
      </c>
      <c r="B21" s="69">
        <f>B18*B20+B19*(1-B20)</f>
        <v/>
      </c>
    </row>
    <row r="23" ht="15" customHeight="1" s="55">
      <c r="A23" s="57" t="inlineStr">
        <is>
          <t>ПЕРЕМЕННЫЕ ЗАТРАТЫ</t>
        </is>
      </c>
      <c r="B23" s="58" t="n"/>
      <c r="C23" s="58" t="n"/>
    </row>
    <row r="24" ht="15" customHeight="1" s="55">
      <c r="A24" s="59" t="inlineStr">
        <is>
          <t>Чернила (CMYK+белила+лак), $/фут²</t>
        </is>
      </c>
      <c r="B24" s="68" t="n">
        <v>0.7</v>
      </c>
    </row>
    <row r="25" ht="15" customHeight="1" s="55">
      <c r="A25" s="59" t="inlineStr">
        <is>
          <t>Субстрат / дерево (блендед), $/фут²</t>
        </is>
      </c>
      <c r="B25" s="68" t="n">
        <v>1.5</v>
      </c>
    </row>
    <row r="26" ht="15" customHeight="1" s="55">
      <c r="A26" s="59" t="inlineStr">
        <is>
          <t>Финиш / УФ-лак + эквайринг 2.6% чека, $/фут²</t>
        </is>
      </c>
      <c r="B26" s="68" t="n">
        <v>0.746</v>
      </c>
    </row>
    <row r="27" ht="15" customHeight="1" s="55">
      <c r="A27" s="59" t="inlineStr">
        <is>
          <t>ИТОГО переменные, $/фут²</t>
        </is>
      </c>
      <c r="B27" s="69">
        <f>SUM(B24:B26)</f>
        <v/>
      </c>
    </row>
    <row r="28" ht="15" customHeight="1" s="55">
      <c r="A28" s="59" t="inlineStr">
        <is>
          <t>Валовая маржа, $/фут²</t>
        </is>
      </c>
      <c r="B28" s="69">
        <f>B21-B27</f>
        <v/>
      </c>
    </row>
    <row r="30" ht="15" customHeight="1" s="55">
      <c r="A30" s="57" t="inlineStr">
        <is>
          <t>ПРОИЗВОДИТЕЛЬНОСТЬ (соло)</t>
        </is>
      </c>
      <c r="B30" s="58" t="n"/>
      <c r="C30" s="58" t="n"/>
    </row>
    <row r="31" ht="15" customHeight="1" s="55">
      <c r="A31" s="59" t="inlineStr">
        <is>
          <t>Скорость печати Quality, фут²/час</t>
        </is>
      </c>
      <c r="B31" s="65" t="n">
        <v>36</v>
      </c>
    </row>
    <row r="32" ht="15" customHeight="1" s="55">
      <c r="A32" s="59" t="inlineStr">
        <is>
          <t>Эффективная (с оснасткой/handling), фут²/час</t>
        </is>
      </c>
      <c r="B32" s="65" t="n">
        <v>25</v>
      </c>
    </row>
    <row r="33" ht="15" customHeight="1" s="55">
      <c r="A33" s="59" t="inlineStr">
        <is>
          <t>Рабочих дней/мес</t>
        </is>
      </c>
      <c r="B33" s="65" t="n">
        <v>18</v>
      </c>
    </row>
    <row r="34" ht="15" customHeight="1" s="55">
      <c r="A34" s="59" t="inlineStr">
        <is>
          <t>Печатных часов/день</t>
        </is>
      </c>
      <c r="B34" s="65" t="n">
        <v>6</v>
      </c>
    </row>
    <row r="35" ht="15" customHeight="1" s="55">
      <c r="A35" s="59" t="inlineStr">
        <is>
          <t>Месячная ёмкость (соло), фут²/мес</t>
        </is>
      </c>
      <c r="B35" s="70">
        <f>B32*B33*B34</f>
        <v/>
      </c>
    </row>
    <row r="37" ht="15" customHeight="1" s="55">
      <c r="A37" s="57" t="inlineStr">
        <is>
          <t>ПОСТОЯННЫЕ ЗАТРАТЫ, $/мес</t>
        </is>
      </c>
      <c r="B37" s="58" t="n"/>
      <c r="C37" s="58" t="n"/>
    </row>
    <row r="38" ht="15" customHeight="1" s="55">
      <c r="A38" s="59" t="inlineStr">
        <is>
          <t>Зарплата оператора/основателя (нагруж.)</t>
        </is>
      </c>
      <c r="B38" s="71" t="n">
        <v>5750</v>
      </c>
    </row>
    <row r="39" ht="15" customHeight="1" s="55">
      <c r="A39" s="59" t="inlineStr">
        <is>
          <t>Аренда помещения (600–1000 фут²)</t>
        </is>
      </c>
      <c r="B39" s="71" t="n">
        <v>1500</v>
      </c>
    </row>
    <row r="40" ht="15" customHeight="1" s="55">
      <c r="A40" s="59" t="inlineStr">
        <is>
          <t>Электр./коммуналка (станок ~4.2 кВт)</t>
        </is>
      </c>
      <c r="B40" s="71" t="n">
        <v>300</v>
      </c>
    </row>
    <row r="41" ht="15" customHeight="1" s="55">
      <c r="A41" s="59" t="inlineStr">
        <is>
          <t>Страховка (ответственность + оборуд.)</t>
        </is>
      </c>
      <c r="B41" s="71" t="n">
        <v>250</v>
      </c>
    </row>
    <row r="42" ht="15" customHeight="1" s="55">
      <c r="A42" s="59" t="inlineStr">
        <is>
          <t>ПО/RIP/сайт</t>
        </is>
      </c>
      <c r="B42" s="71" t="n">
        <v>200</v>
      </c>
    </row>
    <row r="43" ht="15" customHeight="1" s="55">
      <c r="A43" s="59" t="inlineStr">
        <is>
          <t>Маркетинг/лидогенерация</t>
        </is>
      </c>
      <c r="B43" s="71" t="n">
        <v>500</v>
      </c>
    </row>
    <row r="44" ht="15" customHeight="1" s="55">
      <c r="A44" s="59" t="inlineStr">
        <is>
          <t>Резерв ТО / печатающие головы</t>
        </is>
      </c>
      <c r="B44" s="72" t="n">
        <v>400</v>
      </c>
    </row>
    <row r="45">
      <c r="A45" s="54" t="inlineStr">
        <is>
          <t>Бухгалтерия / CPA</t>
        </is>
      </c>
      <c r="B45" s="73" t="n">
        <v>250</v>
      </c>
    </row>
    <row r="46" ht="15" customHeight="1" s="55">
      <c r="A46" s="74" t="inlineStr">
        <is>
          <t>Телефон / интернет</t>
        </is>
      </c>
      <c r="B46" s="73" t="n">
        <v>150</v>
      </c>
    </row>
    <row r="47">
      <c r="A47" s="54" t="inlineStr">
        <is>
          <t>Транспорт / доставка</t>
        </is>
      </c>
      <c r="B47" s="73" t="n">
        <v>400</v>
      </c>
    </row>
    <row r="48">
      <c r="A48" s="54" t="inlineStr">
        <is>
          <t>Орг./офис / лицензии</t>
        </is>
      </c>
      <c r="B48" s="73" t="n">
        <v>300</v>
      </c>
    </row>
    <row r="49">
      <c r="A49" s="54" t="inlineStr">
        <is>
          <t>Налог на имущество CA (~1%/год)</t>
        </is>
      </c>
      <c r="B49" s="73" t="n">
        <v>86</v>
      </c>
    </row>
    <row r="50">
      <c r="A50" s="54" t="inlineStr">
        <is>
          <t>ИТОГО постоянные, $/мес</t>
        </is>
      </c>
      <c r="B50" s="75">
        <f>SUM(B38:B49)</f>
        <v/>
      </c>
    </row>
    <row r="51">
      <c r="A51" s="54" t="inlineStr">
        <is>
          <t>Примечание: EBITDA = валовая прибыль − постоянные (вкл. зарплату оператора). Лизинг/аванс — ниже, в «Финансирование».</t>
        </is>
      </c>
    </row>
  </sheetData>
  <mergeCells count="1">
    <mergeCell ref="A1:C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2" customWidth="1" style="54" min="1" max="1"/>
    <col width="16" customWidth="1" style="54" min="2" max="2"/>
  </cols>
  <sheetData>
    <row r="1" ht="17.25" customHeight="1" s="55">
      <c r="A1" s="56" t="inlineStr">
        <is>
          <t>Лизинг vs Покупка</t>
        </is>
      </c>
    </row>
    <row r="3" ht="15" customHeight="1" s="55">
      <c r="A3" s="57" t="inlineStr">
        <is>
          <t>ПОКУПКА (equipment loan)</t>
        </is>
      </c>
      <c r="B3" s="58" t="n"/>
      <c r="C3" s="58" t="n"/>
    </row>
    <row r="4" ht="15" customHeight="1" s="55">
      <c r="A4" s="59" t="inlineStr">
        <is>
          <t>CapEx (всего)</t>
        </is>
      </c>
      <c r="B4" s="76">
        <f>Допущения!B8</f>
        <v/>
      </c>
    </row>
    <row r="5" ht="15" customHeight="1" s="55">
      <c r="A5" s="59" t="inlineStr">
        <is>
          <t>Первый взнос, $</t>
        </is>
      </c>
      <c r="B5" s="76">
        <f>B4*Допущения!B13</f>
        <v/>
      </c>
    </row>
    <row r="6" ht="15" customHeight="1" s="55">
      <c r="A6" s="59" t="inlineStr">
        <is>
          <t>Сумма кредита, $</t>
        </is>
      </c>
      <c r="B6" s="62">
        <f>B4-B5</f>
        <v/>
      </c>
    </row>
    <row r="7" ht="15" customHeight="1" s="55">
      <c r="A7" s="59" t="inlineStr">
        <is>
          <t>Ставка, % год.</t>
        </is>
      </c>
      <c r="B7" s="77">
        <f>Допущения!B12</f>
        <v/>
      </c>
    </row>
    <row r="8" ht="15" customHeight="1" s="55">
      <c r="A8" s="59" t="inlineStr">
        <is>
          <t>Срок, мес</t>
        </is>
      </c>
      <c r="B8" s="78">
        <f>Допущения!B11</f>
        <v/>
      </c>
    </row>
    <row r="9" ht="15" customHeight="1" s="55">
      <c r="A9" s="59" t="inlineStr">
        <is>
          <t>Платёж, $/мес</t>
        </is>
      </c>
      <c r="B9" s="63">
        <f>-PMT(B7/12,B8,B6)</f>
        <v/>
      </c>
    </row>
    <row r="10" ht="15" customHeight="1" s="55">
      <c r="A10" s="59" t="inlineStr">
        <is>
          <t>Всего выплат (вкл. взнос), $</t>
        </is>
      </c>
      <c r="B10" s="62">
        <f>B9*B8+B5</f>
        <v/>
      </c>
    </row>
    <row r="11" ht="15" customHeight="1" s="55">
      <c r="A11" s="59" t="inlineStr">
        <is>
          <t>Переплата над CapEx, %</t>
        </is>
      </c>
      <c r="B11" s="79">
        <f>B10/B4-1</f>
        <v/>
      </c>
    </row>
    <row r="13" ht="15" customHeight="1" s="55">
      <c r="A13" s="57" t="inlineStr">
        <is>
          <t>ЛИЗИНГ ($1-buyout, 0 down)</t>
        </is>
      </c>
      <c r="B13" s="58" t="n"/>
      <c r="C13" s="58" t="n"/>
    </row>
    <row r="14" ht="15" customHeight="1" s="55">
      <c r="A14" s="59" t="inlineStr">
        <is>
          <t>Финансируемая сумма, $</t>
        </is>
      </c>
      <c r="B14" s="76">
        <f>Допущения!B8</f>
        <v/>
      </c>
    </row>
    <row r="15" ht="15" customHeight="1" s="55">
      <c r="A15" s="59" t="inlineStr">
        <is>
          <t>Ставка, % год.</t>
        </is>
      </c>
      <c r="B15" s="77">
        <f>Допущения!B14</f>
        <v/>
      </c>
    </row>
    <row r="16" ht="15" customHeight="1" s="55">
      <c r="A16" s="59" t="inlineStr">
        <is>
          <t>Срок, мес</t>
        </is>
      </c>
      <c r="B16" s="78">
        <f>Допущения!B11</f>
        <v/>
      </c>
    </row>
    <row r="17" ht="15" customHeight="1" s="55">
      <c r="A17" s="59" t="inlineStr">
        <is>
          <t>Платёж, $/мес</t>
        </is>
      </c>
      <c r="B17" s="63">
        <f>-PMT(B15/12,B16,B14)</f>
        <v/>
      </c>
    </row>
    <row r="18" ht="15" customHeight="1" s="55">
      <c r="A18" s="59" t="inlineStr">
        <is>
          <t>Всего выплат, $</t>
        </is>
      </c>
      <c r="B18" s="62">
        <f>B17*B16</f>
        <v/>
      </c>
    </row>
    <row r="19" ht="15" customHeight="1" s="55">
      <c r="A19" s="59" t="inlineStr">
        <is>
          <t>Переплата над CapEx, %</t>
        </is>
      </c>
      <c r="B19" s="79">
        <f>B18/B14-1</f>
        <v/>
      </c>
    </row>
    <row r="21" ht="15" customHeight="1" s="55">
      <c r="A21" s="57" t="inlineStr">
        <is>
          <t>ВЫБРАННЫЙ платёж за оборудование</t>
        </is>
      </c>
      <c r="B21" s="58" t="n"/>
      <c r="C21" s="58" t="n"/>
    </row>
    <row r="22" ht="15" customHeight="1" s="55">
      <c r="A22" s="59" t="inlineStr">
        <is>
          <t>$/мес (по выбору в Допущениях)</t>
        </is>
      </c>
      <c r="B22" s="63">
        <f>IF(Допущения!B15=1,B9,B17)</f>
        <v/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6" customWidth="1" style="54" min="1" max="1"/>
    <col width="16" customWidth="1" style="54" min="2" max="2"/>
  </cols>
  <sheetData>
    <row r="1" ht="17.25" customHeight="1" s="55">
      <c r="A1" s="56" t="inlineStr">
        <is>
          <t>Юнит-экономика: один забор-мурал</t>
        </is>
      </c>
    </row>
    <row r="3" ht="15" customHeight="1" s="55">
      <c r="A3" s="57" t="inlineStr">
        <is>
          <t>ПАРАМЕТРЫ ЗАБОРА</t>
        </is>
      </c>
      <c r="B3" s="58" t="n"/>
      <c r="C3" s="58" t="n"/>
    </row>
    <row r="4" ht="15" customHeight="1" s="55">
      <c r="A4" s="59" t="inlineStr">
        <is>
          <t>Длина забора, пог. фут</t>
        </is>
      </c>
      <c r="B4" s="65" t="n">
        <v>100</v>
      </c>
    </row>
    <row r="5" ht="15" customHeight="1" s="55">
      <c r="A5" s="59" t="inlineStr">
        <is>
          <t>Высота, фут</t>
        </is>
      </c>
      <c r="B5" s="65" t="n">
        <v>6</v>
      </c>
    </row>
    <row r="6" ht="15" customHeight="1" s="55">
      <c r="A6" s="59" t="inlineStr">
        <is>
          <t>Печатаемая площадь, фут²</t>
        </is>
      </c>
      <c r="B6" s="70">
        <f>B4*B5</f>
        <v/>
      </c>
    </row>
    <row r="8" ht="15" customHeight="1" s="55">
      <c r="A8" s="57" t="inlineStr">
        <is>
          <t>ЭКОНОМИКА ДЕКОРА</t>
        </is>
      </c>
      <c r="B8" s="58" t="n"/>
      <c r="C8" s="58" t="n"/>
    </row>
    <row r="9" ht="15" customHeight="1" s="55">
      <c r="A9" s="59" t="inlineStr">
        <is>
          <t>Цена продажи декора, $/фут²</t>
        </is>
      </c>
      <c r="B9" s="80">
        <f>Допущения!B18</f>
        <v/>
      </c>
    </row>
    <row r="10" ht="15" customHeight="1" s="55">
      <c r="A10" s="59" t="inlineStr">
        <is>
          <t>Выручка за декор забора, $</t>
        </is>
      </c>
      <c r="B10" s="63">
        <f>B6*B9</f>
        <v/>
      </c>
    </row>
    <row r="11" ht="15" customHeight="1" s="55">
      <c r="A11" s="59" t="inlineStr">
        <is>
          <t>Переменные затраты, $</t>
        </is>
      </c>
      <c r="B11" s="62">
        <f>B6*Допущения!B27</f>
        <v/>
      </c>
    </row>
    <row r="12" ht="15" customHeight="1" s="55">
      <c r="A12" s="59" t="inlineStr">
        <is>
          <t>Валовая прибыль за забор, $</t>
        </is>
      </c>
      <c r="B12" s="63">
        <f>B10-B11</f>
        <v/>
      </c>
    </row>
    <row r="13" ht="15" customHeight="1" s="55">
      <c r="A13" s="59" t="inlineStr">
        <is>
          <t>Валовая маржа, %</t>
        </is>
      </c>
      <c r="B13" s="79">
        <f>B12/B10</f>
        <v/>
      </c>
    </row>
    <row r="14" ht="15" customHeight="1" s="55">
      <c r="A14" s="59" t="inlineStr">
        <is>
          <t>Декор в пересчёте на $/пог. фут</t>
        </is>
      </c>
      <c r="B14" s="81">
        <f>B9*B5</f>
        <v/>
      </c>
    </row>
    <row r="16" ht="15" customHeight="1" s="55">
      <c r="A16" s="57" t="inlineStr">
        <is>
          <t>ВРЕМЯ (соло)</t>
        </is>
      </c>
      <c r="B16" s="58" t="n"/>
      <c r="C16" s="58" t="n"/>
    </row>
    <row r="17" ht="15" customHeight="1" s="55">
      <c r="A17" s="59" t="inlineStr">
        <is>
          <t>Часы печати</t>
        </is>
      </c>
      <c r="B17" s="82">
        <f>B6/Допущения!B32</f>
        <v/>
      </c>
    </row>
    <row r="18" ht="15" customHeight="1" s="55">
      <c r="A18" s="59" t="inlineStr">
        <is>
          <t>Прибыль на час печати, $</t>
        </is>
      </c>
      <c r="B18" s="62">
        <f>B12/B17</f>
        <v/>
      </c>
    </row>
    <row r="20" ht="15" customHeight="1" s="55">
      <c r="A20" s="74" t="inlineStr">
        <is>
          <t>Базовый забор redwood в Сакраменто: $45–55/фут (privacy). Премиум surfaced redwood: $70–120/фут.</t>
        </is>
      </c>
    </row>
  </sheetData>
  <mergeCells count="2">
    <mergeCell ref="A20:B20"/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D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0" customWidth="1" style="54" min="1" max="1"/>
    <col width="16" customWidth="1" style="54" min="2" max="4"/>
  </cols>
  <sheetData>
    <row r="1" ht="17.25" customHeight="1" s="55">
      <c r="A1" s="56" t="inlineStr">
        <is>
          <t>P&amp;L: 3 сценария (соло, в месяц)</t>
        </is>
      </c>
    </row>
    <row r="3" ht="15" customHeight="1" s="55">
      <c r="A3" s="83" t="inlineStr">
        <is>
          <t>Показатель</t>
        </is>
      </c>
      <c r="B3" s="84" t="inlineStr">
        <is>
          <t>Консервативный</t>
        </is>
      </c>
      <c r="C3" s="84" t="inlineStr">
        <is>
          <t>Базовый</t>
        </is>
      </c>
      <c r="D3" s="84" t="inlineStr">
        <is>
          <t>Агрессивный</t>
        </is>
      </c>
    </row>
    <row r="4" ht="15" customHeight="1" s="55">
      <c r="A4" s="59" t="inlineStr">
        <is>
          <t>Объём печати, фут²/мес</t>
        </is>
      </c>
      <c r="B4" s="65" t="n">
        <v>700</v>
      </c>
      <c r="C4" s="65" t="n">
        <v>1300</v>
      </c>
      <c r="D4" s="65" t="n">
        <v>2200</v>
      </c>
    </row>
    <row r="5" ht="15" customHeight="1" s="55">
      <c r="A5" s="59" t="inlineStr">
        <is>
          <t>Блендед цена, $/фут²</t>
        </is>
      </c>
      <c r="B5" s="80">
        <f>Допущения!B21</f>
        <v/>
      </c>
      <c r="C5" s="80">
        <f>Допущения!B21</f>
        <v/>
      </c>
      <c r="D5" s="80">
        <f>Допущения!B21</f>
        <v/>
      </c>
    </row>
    <row r="6" ht="15" customHeight="1" s="55">
      <c r="A6" s="59" t="inlineStr">
        <is>
          <t>Выручка, $/мес</t>
        </is>
      </c>
      <c r="B6" s="63">
        <f>B4*B5</f>
        <v/>
      </c>
      <c r="C6" s="63">
        <f>C4*C5</f>
        <v/>
      </c>
      <c r="D6" s="63">
        <f>D4*D5</f>
        <v/>
      </c>
    </row>
    <row r="7" ht="15" customHeight="1" s="55">
      <c r="A7" s="59" t="inlineStr">
        <is>
          <t>Переменные затраты, $/мес</t>
        </is>
      </c>
      <c r="B7" s="62">
        <f>B4*Допущения!B27</f>
        <v/>
      </c>
      <c r="C7" s="62">
        <f>C4*Допущения!B27</f>
        <v/>
      </c>
      <c r="D7" s="62">
        <f>D4*Допущения!B27</f>
        <v/>
      </c>
    </row>
    <row r="8" ht="15" customHeight="1" s="55">
      <c r="A8" s="59" t="inlineStr">
        <is>
          <t>Валовая прибыль, $/мес</t>
        </is>
      </c>
      <c r="B8" s="63">
        <f>B6-B7</f>
        <v/>
      </c>
      <c r="C8" s="63">
        <f>C6-C7</f>
        <v/>
      </c>
      <c r="D8" s="63">
        <f>D6-D7</f>
        <v/>
      </c>
    </row>
    <row r="9" ht="15" customHeight="1" s="55">
      <c r="A9" s="59" t="inlineStr">
        <is>
          <t>Постоянные затраты, $/мес</t>
        </is>
      </c>
      <c r="B9" s="62">
        <f>Допущения!B50</f>
        <v/>
      </c>
      <c r="C9" s="62">
        <f>Допущения!B50</f>
        <v/>
      </c>
      <c r="D9" s="62">
        <f>Допущения!B50</f>
        <v/>
      </c>
    </row>
    <row r="10" ht="15" customHeight="1" s="55">
      <c r="A10" s="59" t="inlineStr">
        <is>
          <t>Платёж за оборудование (лизинг/кредит), $/мес — справочно</t>
        </is>
      </c>
      <c r="B10" s="62">
        <f>Финансирование!B22</f>
        <v/>
      </c>
      <c r="C10" s="62">
        <f>Финансирование!B22</f>
        <v/>
      </c>
      <c r="D10" s="62">
        <f>Финансирование!B22</f>
        <v/>
      </c>
    </row>
    <row r="11" ht="15" customHeight="1" s="55">
      <c r="A11" s="59" t="inlineStr">
        <is>
          <t>EBITDA (до лизинга/налога), $/мес</t>
        </is>
      </c>
      <c r="B11" s="85">
        <f>B8-B9</f>
        <v/>
      </c>
      <c r="C11" s="85">
        <f>C8-C9</f>
        <v/>
      </c>
      <c r="D11" s="85">
        <f>D8-D9</f>
        <v/>
      </c>
    </row>
    <row r="12" ht="15" customHeight="1" s="55">
      <c r="A12" s="59" t="inlineStr">
        <is>
          <t>Рентабельность (EBITDA), %</t>
        </is>
      </c>
      <c r="B12" s="79">
        <f>B11/B6</f>
        <v/>
      </c>
      <c r="C12" s="79">
        <f>C11/C6</f>
        <v/>
      </c>
      <c r="D12" s="79">
        <f>D11/D6</f>
        <v/>
      </c>
    </row>
    <row r="13" ht="15" customHeight="1" s="55">
      <c r="A13" s="59" t="inlineStr">
        <is>
          <t>EBITDA годовая, $</t>
        </is>
      </c>
      <c r="B13" s="85">
        <f>B11*12</f>
        <v/>
      </c>
      <c r="C13" s="85">
        <f>C11*12</f>
        <v/>
      </c>
      <c r="D13" s="85">
        <f>D11*12</f>
        <v/>
      </c>
    </row>
    <row r="15" ht="15" customHeight="1" s="55">
      <c r="A15" s="57" t="inlineStr">
        <is>
          <t>Проверка реалистичности (соло)</t>
        </is>
      </c>
      <c r="B15" s="58" t="n"/>
      <c r="C15" s="58" t="n"/>
      <c r="D15" s="58" t="n"/>
    </row>
    <row r="16" ht="15" customHeight="1" s="55">
      <c r="A16" s="59" t="inlineStr">
        <is>
          <t>Часы печати/мес</t>
        </is>
      </c>
      <c r="B16" s="82">
        <f>B4/Допущения!B32</f>
        <v/>
      </c>
      <c r="C16" s="82">
        <f>C4/Допущения!B32</f>
        <v/>
      </c>
      <c r="D16" s="82">
        <f>D4/Допущения!B32</f>
        <v/>
      </c>
    </row>
    <row r="17" ht="15" customHeight="1" s="55">
      <c r="A17" s="59" t="inlineStr">
        <is>
          <t>Загрузка от ёмкости соло, %</t>
        </is>
      </c>
      <c r="B17" s="79">
        <f>B4/Допущения!B35</f>
        <v/>
      </c>
      <c r="C17" s="79">
        <f>C4/Допущения!B35</f>
        <v/>
      </c>
      <c r="D17" s="79">
        <f>D4/Допущения!B35</f>
        <v/>
      </c>
    </row>
    <row r="18" ht="15" customHeight="1" s="55">
      <c r="A18" s="59" t="inlineStr">
        <is>
          <t>Статус</t>
        </is>
      </c>
      <c r="B18" s="86">
        <f>IF(B17&gt;1,"НЕРЕАЛЬНО соло — нужен помощник",IF(B17&gt;0.8,"Предел соло","ОК соло"))</f>
        <v/>
      </c>
      <c r="C18" s="86">
        <f>IF(C17&gt;1,"НЕРЕАЛЬНО соло — нужен помощник",IF(C17&gt;0.8,"Предел соло","ОК соло"))</f>
        <v/>
      </c>
      <c r="D18" s="86">
        <f>IF(D17&gt;1,"НЕРЕАЛЬНО соло — нужен помощник",IF(D17&gt;0.8,"Предел соло","ОК соло"))</f>
        <v/>
      </c>
    </row>
    <row r="20" ht="15" customHeight="1" s="55">
      <c r="A20" s="57" t="inlineStr">
        <is>
          <t>Ключевые метрики</t>
        </is>
      </c>
      <c r="B20" s="58" t="n"/>
      <c r="C20" s="58" t="n"/>
      <c r="D20" s="58" t="n"/>
    </row>
    <row r="21" ht="15" customHeight="1" s="55">
      <c r="A21" s="59" t="inlineStr">
        <is>
          <t>Точка безубыточности, фут²/мес</t>
        </is>
      </c>
      <c r="B21" s="82">
        <f>(Допущения!B50+Финансирование!B22)/Допущения!B28</f>
        <v/>
      </c>
      <c r="C21" s="82">
        <f>(Допущения!B50+Финансирование!B22)/Допущения!B28</f>
        <v/>
      </c>
      <c r="D21" s="82">
        <f>(Допущения!B50+Финансирование!B22)/Допущения!B28</f>
        <v/>
      </c>
    </row>
    <row r="22" ht="15" customHeight="1" s="55">
      <c r="A22" s="59" t="inlineStr">
        <is>
          <t>Окупаемость CapEx чистой прибылью, мес</t>
        </is>
      </c>
      <c r="B22" s="82">
        <f>Допущения!B8/B11</f>
        <v/>
      </c>
      <c r="C22" s="82">
        <f>Допущения!B8/C11</f>
        <v/>
      </c>
      <c r="D22" s="82">
        <f>Допущения!B8/D11</f>
        <v/>
      </c>
    </row>
    <row r="23" ht="15" customHeight="1" s="55">
      <c r="A23" s="59" t="inlineStr">
        <is>
          <t>Рабочих дней/мес</t>
        </is>
      </c>
      <c r="B23" s="78">
        <f>Допущения!B33</f>
        <v/>
      </c>
      <c r="C23" s="78">
        <f>Допущения!B33</f>
        <v/>
      </c>
      <c r="D23" s="78">
        <f>Допущения!B33</f>
        <v/>
      </c>
    </row>
    <row r="24" ht="15" customHeight="1" s="55">
      <c r="A24" s="59" t="inlineStr">
        <is>
          <t>ПРИБЫЛЬ ВЛАДЕЛЬЦУ В ДЕНЬ, $</t>
        </is>
      </c>
      <c r="B24" s="87">
        <f>B11/B23</f>
        <v/>
      </c>
      <c r="C24" s="87">
        <f>C11/C23</f>
        <v/>
      </c>
      <c r="D24" s="87">
        <f>D11/D23</f>
        <v/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H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2" customWidth="1" style="54" min="1" max="1"/>
    <col width="16" customWidth="1" style="54" min="2" max="6"/>
    <col width="14" customWidth="1" style="54" min="7" max="8"/>
  </cols>
  <sheetData>
    <row r="1" ht="17.25" customHeight="1" s="55">
      <c r="A1" s="56" t="inlineStr">
        <is>
          <t>Цена для клиента: обычный забор vs забор с рисунком</t>
        </is>
      </c>
    </row>
    <row r="3" ht="15" customHeight="1" s="55">
      <c r="A3" s="61" t="inlineStr">
        <is>
          <t>ПАРАМЕТРЫ</t>
        </is>
      </c>
      <c r="B3" s="58" t="n"/>
      <c r="D3" s="61" t="inlineStr">
        <is>
          <t>ДВЕ СТОРОНЫ / СОСЕД</t>
        </is>
      </c>
      <c r="E3" s="58" t="n"/>
    </row>
    <row r="4" ht="15" customHeight="1" s="55">
      <c r="A4" s="59" t="inlineStr">
        <is>
          <t>Длина забора, пог. фут</t>
        </is>
      </c>
      <c r="B4" s="65" t="n">
        <v>150</v>
      </c>
      <c r="D4" s="59" t="inlineStr">
        <is>
          <t>Сторон печати (1 или 2)</t>
        </is>
      </c>
      <c r="E4" s="67" t="n">
        <v>2</v>
      </c>
    </row>
    <row r="5" ht="15" customHeight="1" s="55">
      <c r="A5" s="59" t="inlineStr">
        <is>
          <t>Высота, фут</t>
        </is>
      </c>
      <c r="B5" s="65" t="n">
        <v>6</v>
      </c>
      <c r="D5" s="59" t="inlineStr">
        <is>
          <t>Скидка на 2-ю сторону, %</t>
        </is>
      </c>
      <c r="E5" s="66" t="n">
        <v>0.25</v>
      </c>
    </row>
    <row r="6" ht="15" customHeight="1" s="55">
      <c r="A6" s="59" t="inlineStr">
        <is>
          <t>Базовая цена забора, $/пог.фут (установлено)</t>
        </is>
      </c>
      <c r="B6" s="60" t="n">
        <v>50</v>
      </c>
      <c r="D6" s="59" t="inlineStr">
        <is>
          <t>Доля соседа в оплате, %</t>
        </is>
      </c>
      <c r="E6" s="66" t="n">
        <v>0</v>
      </c>
    </row>
    <row r="7" ht="15" customHeight="1" s="55">
      <c r="A7" s="59" t="inlineStr">
        <is>
          <t>Цена декора (печать), $/фут²</t>
        </is>
      </c>
      <c r="B7" s="80">
        <f>Допущения!B18</f>
        <v/>
      </c>
      <c r="D7" s="59" t="inlineStr">
        <is>
          <t>Множитель цены (стороны)</t>
        </is>
      </c>
      <c r="E7" s="88">
        <f>1+(E4-1)*(1-E5)</f>
        <v/>
      </c>
    </row>
    <row r="8" ht="15" customHeight="1" s="55">
      <c r="A8" s="59" t="inlineStr">
        <is>
          <t>Мин. плата за проект декора, $</t>
        </is>
      </c>
      <c r="B8" s="60" t="n">
        <v>750</v>
      </c>
    </row>
    <row r="9" ht="15" customHeight="1" s="55">
      <c r="A9" s="59" t="inlineStr">
        <is>
          <t>Площадь лица забора, фут²</t>
        </is>
      </c>
      <c r="B9" s="89">
        <f>B4*B5</f>
        <v/>
      </c>
    </row>
    <row r="10" ht="15" customHeight="1" s="55">
      <c r="A10" s="59" t="inlineStr">
        <is>
          <t>Базовая стоимость забора, $</t>
        </is>
      </c>
      <c r="B10" s="90">
        <f>B4*B6</f>
        <v/>
      </c>
    </row>
    <row r="12" ht="15" customHeight="1" s="55">
      <c r="A12" s="61" t="inlineStr">
        <is>
          <t>ОБЫЧНЫЙ ЗАБОР vs С РИСУНКОМ (по доле покрытия)</t>
        </is>
      </c>
      <c r="B12" s="58" t="n"/>
      <c r="C12" s="58" t="n"/>
      <c r="D12" s="58" t="n"/>
      <c r="E12" s="58" t="n"/>
      <c r="F12" s="58" t="n"/>
      <c r="G12" s="58" t="n"/>
      <c r="H12" s="58" t="n"/>
    </row>
    <row r="13" ht="26.25" customHeight="1" s="55">
      <c r="A13" s="91" t="inlineStr">
        <is>
          <t>Вариант</t>
        </is>
      </c>
      <c r="B13" s="91" t="inlineStr">
        <is>
          <t>Покрытие, %</t>
        </is>
      </c>
      <c r="C13" s="91" t="inlineStr">
        <is>
          <t>Площадь печати
(обе стороны), фут²</t>
        </is>
      </c>
      <c r="D13" s="91" t="inlineStr">
        <is>
          <t>Декор клиенту, $</t>
        </is>
      </c>
      <c r="E13" s="91" t="inlineStr">
        <is>
          <t>ИТОГО проект, $</t>
        </is>
      </c>
      <c r="F13" s="91" t="inlineStr">
        <is>
          <t>$/пог.фут</t>
        </is>
      </c>
      <c r="G13" s="91" t="inlineStr">
        <is>
          <t>Ваш клиент платит, $</t>
        </is>
      </c>
      <c r="H13" s="91" t="inlineStr">
        <is>
          <t>Сосед платит, $</t>
        </is>
      </c>
    </row>
    <row r="14" ht="15" customHeight="1" s="55">
      <c r="A14" s="92" t="inlineStr">
        <is>
          <t>Обычный забор (без рисунка)</t>
        </is>
      </c>
      <c r="B14" s="66" t="n">
        <v>0</v>
      </c>
      <c r="C14" s="93">
        <f>$B$9*B14*$E$4</f>
        <v/>
      </c>
      <c r="D14" s="94">
        <f>IF(B14=0,0,MAX($B$9*B14*$B$7*$E$7,$B$8))</f>
        <v/>
      </c>
      <c r="E14" s="94">
        <f>$B$10+D14</f>
        <v/>
      </c>
      <c r="F14" s="94">
        <f>E14/$B$4</f>
        <v/>
      </c>
      <c r="G14" s="94">
        <f>E14*(1-$E$6)</f>
        <v/>
      </c>
      <c r="H14" s="94">
        <f>E14*$E$6</f>
        <v/>
      </c>
    </row>
    <row r="15" ht="15" customHeight="1" s="55">
      <c r="A15" s="92" t="inlineStr">
        <is>
          <t>Акцент / фокус-панель</t>
        </is>
      </c>
      <c r="B15" s="66" t="n">
        <v>0.1</v>
      </c>
      <c r="C15" s="93">
        <f>$B$9*B15*$E$4</f>
        <v/>
      </c>
      <c r="D15" s="94">
        <f>IF(B15=0,0,MAX($B$9*B15*$B$7*$E$7,$B$8))</f>
        <v/>
      </c>
      <c r="E15" s="94">
        <f>$B$10+D15</f>
        <v/>
      </c>
      <c r="F15" s="94">
        <f>E15/$B$4</f>
        <v/>
      </c>
      <c r="G15" s="94">
        <f>E15*(1-$E$6)</f>
        <v/>
      </c>
      <c r="H15" s="94">
        <f>E15*$E$6</f>
        <v/>
      </c>
    </row>
    <row r="16" ht="15" customHeight="1" s="55">
      <c r="A16" s="92" t="inlineStr">
        <is>
          <t>Частичный (полоса/низ)</t>
        </is>
      </c>
      <c r="B16" s="66" t="n">
        <v>0.25</v>
      </c>
      <c r="C16" s="93">
        <f>$B$9*B16*$E$4</f>
        <v/>
      </c>
      <c r="D16" s="94">
        <f>IF(B16=0,0,MAX($B$9*B16*$B$7*$E$7,$B$8))</f>
        <v/>
      </c>
      <c r="E16" s="94">
        <f>$B$10+D16</f>
        <v/>
      </c>
      <c r="F16" s="94">
        <f>E16/$B$4</f>
        <v/>
      </c>
      <c r="G16" s="94">
        <f>E16*(1-$E$6)</f>
        <v/>
      </c>
      <c r="H16" s="94">
        <f>E16*$E$6</f>
        <v/>
      </c>
    </row>
    <row r="17" ht="15" customHeight="1" s="55">
      <c r="A17" s="92" t="inlineStr">
        <is>
          <t>Половина лица</t>
        </is>
      </c>
      <c r="B17" s="66" t="n">
        <v>0.5</v>
      </c>
      <c r="C17" s="93">
        <f>$B$9*B17*$E$4</f>
        <v/>
      </c>
      <c r="D17" s="94">
        <f>IF(B17=0,0,MAX($B$9*B17*$B$7*$E$7,$B$8))</f>
        <v/>
      </c>
      <c r="E17" s="94">
        <f>$B$10+D17</f>
        <v/>
      </c>
      <c r="F17" s="94">
        <f>E17/$B$4</f>
        <v/>
      </c>
      <c r="G17" s="94">
        <f>E17*(1-$E$6)</f>
        <v/>
      </c>
      <c r="H17" s="94">
        <f>E17*$E$6</f>
        <v/>
      </c>
    </row>
    <row r="18" ht="15" customHeight="1" s="55">
      <c r="A18" s="92" t="inlineStr">
        <is>
          <t>Полный мурал</t>
        </is>
      </c>
      <c r="B18" s="66" t="n">
        <v>1</v>
      </c>
      <c r="C18" s="93">
        <f>$B$9*B18*$E$4</f>
        <v/>
      </c>
      <c r="D18" s="94">
        <f>IF(B18=0,0,MAX($B$9*B18*$B$7*$E$7,$B$8))</f>
        <v/>
      </c>
      <c r="E18" s="94">
        <f>$B$10+D18</f>
        <v/>
      </c>
      <c r="F18" s="94">
        <f>E18/$B$4</f>
        <v/>
      </c>
      <c r="G18" s="94">
        <f>E18*(1-$E$6)</f>
        <v/>
      </c>
      <c r="H18" s="94">
        <f>E18*$E$6</f>
        <v/>
      </c>
    </row>
    <row r="20" ht="15" customHeight="1" s="55">
      <c r="A20" s="74" t="inlineStr">
        <is>
          <t>Стороны=2 удваивают площадь печати; цена 2-й стороны со скидкой (дизайн уже оплачен). Доля соседа делит общий счёт. Для 2 чистых лиц нужен забор solid/board-on-board/шпунт — база может быть чуть дороже.</t>
        </is>
      </c>
    </row>
  </sheetData>
  <mergeCells count="2">
    <mergeCell ref="A20:F20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O3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8" customWidth="1" style="54" min="1" max="1"/>
    <col width="13" customWidth="1" style="54" min="2" max="12"/>
    <col width="8" customWidth="1" style="54" min="14" max="14"/>
    <col width="10" customWidth="1" style="54" min="15" max="15"/>
  </cols>
  <sheetData>
    <row r="1" ht="17.25" customHeight="1" s="55">
      <c r="A1" s="56" t="inlineStr">
        <is>
          <t>Помесячный кэш-фло (рамп продаж + сезонность забора)</t>
        </is>
      </c>
    </row>
    <row r="3" ht="15" customHeight="1" s="55">
      <c r="A3" s="59" t="inlineStr">
        <is>
          <t>Стартовый месяц (1=Янв)</t>
        </is>
      </c>
      <c r="B3" s="65" t="n">
        <v>3</v>
      </c>
      <c r="N3" s="64" t="inlineStr">
        <is>
          <t>Мес</t>
        </is>
      </c>
      <c r="O3" s="64" t="inlineStr">
        <is>
          <t>Сезон</t>
        </is>
      </c>
    </row>
    <row r="4" ht="15" customHeight="1" s="55">
      <c r="A4" s="59" t="inlineStr">
        <is>
          <t>Steady-state объём, фут²/мес</t>
        </is>
      </c>
      <c r="B4" s="78">
        <f>'P&amp;L сценарии'!C4</f>
        <v/>
      </c>
      <c r="N4" s="95" t="n">
        <v>1</v>
      </c>
      <c r="O4" s="96" t="n">
        <v>0.4</v>
      </c>
    </row>
    <row r="5" ht="15" customHeight="1" s="55">
      <c r="A5" s="59" t="inlineStr">
        <is>
          <t>Длина рампа, мес</t>
        </is>
      </c>
      <c r="B5" s="65" t="n">
        <v>12</v>
      </c>
      <c r="N5" s="95" t="n">
        <v>2</v>
      </c>
      <c r="O5" s="96" t="n">
        <v>0.5</v>
      </c>
    </row>
    <row r="6" ht="15" customHeight="1" s="55">
      <c r="A6" s="59" t="inlineStr">
        <is>
          <t>Стартовый отток (взнос), $</t>
        </is>
      </c>
      <c r="B6" s="76">
        <f>Финансирование!B5</f>
        <v/>
      </c>
      <c r="N6" s="95" t="n">
        <v>3</v>
      </c>
      <c r="O6" s="96" t="n">
        <v>0.85</v>
      </c>
    </row>
    <row r="7" ht="15" customHeight="1" s="55">
      <c r="A7" s="59" t="inlineStr">
        <is>
          <t>Доп. оборотный капитал, $</t>
        </is>
      </c>
      <c r="B7" s="60" t="n">
        <v>5000</v>
      </c>
      <c r="N7" s="95" t="n">
        <v>4</v>
      </c>
      <c r="O7" s="96" t="n">
        <v>1.15</v>
      </c>
    </row>
    <row r="8" ht="15" customHeight="1" s="55">
      <c r="N8" s="95" t="n">
        <v>5</v>
      </c>
      <c r="O8" s="96" t="n">
        <v>1.35</v>
      </c>
    </row>
    <row r="9" ht="15" customHeight="1" s="55">
      <c r="N9" s="95" t="n">
        <v>6</v>
      </c>
      <c r="O9" s="96" t="n">
        <v>1.45</v>
      </c>
    </row>
    <row r="10" ht="26.25" customHeight="1" s="55">
      <c r="A10" s="91" t="inlineStr">
        <is>
          <t>Мес #</t>
        </is>
      </c>
      <c r="B10" s="91" t="inlineStr">
        <is>
          <t>Календ.</t>
        </is>
      </c>
      <c r="C10" s="91" t="inlineStr">
        <is>
          <t>Рамп %</t>
        </is>
      </c>
      <c r="D10" s="91" t="inlineStr">
        <is>
          <t>Сезон</t>
        </is>
      </c>
      <c r="E10" s="91" t="inlineStr">
        <is>
          <t>Объём фут²</t>
        </is>
      </c>
      <c r="F10" s="91" t="inlineStr">
        <is>
          <t>Выручка $</t>
        </is>
      </c>
      <c r="G10" s="91" t="inlineStr">
        <is>
          <t>Перем. $</t>
        </is>
      </c>
      <c r="H10" s="91" t="inlineStr">
        <is>
          <t>Пост. $</t>
        </is>
      </c>
      <c r="I10" s="91" t="inlineStr">
        <is>
          <t>Станок $</t>
        </is>
      </c>
      <c r="J10" s="91" t="inlineStr">
        <is>
          <t>Чистый кэш $</t>
        </is>
      </c>
      <c r="K10" s="91" t="inlineStr">
        <is>
          <t>Накопл. $</t>
        </is>
      </c>
      <c r="L10" s="91" t="inlineStr">
        <is>
          <t>Плюс?</t>
        </is>
      </c>
      <c r="N10" s="95" t="n">
        <v>7</v>
      </c>
      <c r="O10" s="96" t="n">
        <v>1.45</v>
      </c>
    </row>
    <row r="11" ht="15" customHeight="1" s="55">
      <c r="A11" s="93" t="n">
        <v>1</v>
      </c>
      <c r="B11" s="97">
        <f>CHOOSE(MOD($B$3-1+(1-1),12)+1,"Янв","Фев","Мар","Апр","Май","Июн","Июл","Авг","Сен","Окт","Ноя","Дек")</f>
        <v/>
      </c>
      <c r="C11" s="98">
        <f>MIN(1,1/$B$5)</f>
        <v/>
      </c>
      <c r="D11" s="99">
        <f>INDEX($O$4:$O$15,MOD($B$3-1+(1-1),12)+1)</f>
        <v/>
      </c>
      <c r="E11" s="93">
        <f>$B$4*C11*D11</f>
        <v/>
      </c>
      <c r="F11" s="94">
        <f>E11*Допущения!B21</f>
        <v/>
      </c>
      <c r="G11" s="94">
        <f>E11*Допущения!B27</f>
        <v/>
      </c>
      <c r="H11" s="94">
        <f>Допущения!B50</f>
        <v/>
      </c>
      <c r="I11" s="94">
        <f>Финансирование!B22</f>
        <v/>
      </c>
      <c r="J11" s="94">
        <f>F11-G11-H11-I11</f>
        <v/>
      </c>
      <c r="K11" s="94">
        <f>-($B$6+$B$7)+J11</f>
        <v/>
      </c>
      <c r="L11" s="93">
        <f>IF(K11&gt;0,1,0)</f>
        <v/>
      </c>
      <c r="N11" s="95" t="n">
        <v>8</v>
      </c>
      <c r="O11" s="96" t="n">
        <v>1.3</v>
      </c>
    </row>
    <row r="12" ht="15" customHeight="1" s="55">
      <c r="A12" s="93" t="n">
        <v>2</v>
      </c>
      <c r="B12" s="97">
        <f>CHOOSE(MOD($B$3-1+(2-1),12)+1,"Янв","Фев","Мар","Апр","Май","Июн","Июл","Авг","Сен","Окт","Ноя","Дек")</f>
        <v/>
      </c>
      <c r="C12" s="98">
        <f>MIN(1,2/$B$5)</f>
        <v/>
      </c>
      <c r="D12" s="99">
        <f>INDEX($O$4:$O$15,MOD($B$3-1+(2-1),12)+1)</f>
        <v/>
      </c>
      <c r="E12" s="93">
        <f>$B$4*C12*D12</f>
        <v/>
      </c>
      <c r="F12" s="94">
        <f>E12*Допущения!B21</f>
        <v/>
      </c>
      <c r="G12" s="94">
        <f>E12*Допущения!B27</f>
        <v/>
      </c>
      <c r="H12" s="94">
        <f>Допущения!B50</f>
        <v/>
      </c>
      <c r="I12" s="94">
        <f>Финансирование!B22</f>
        <v/>
      </c>
      <c r="J12" s="94">
        <f>F12-G12-H12-I12</f>
        <v/>
      </c>
      <c r="K12" s="94">
        <f>K11+J12</f>
        <v/>
      </c>
      <c r="L12" s="93">
        <f>IF(K12&gt;0,1,0)</f>
        <v/>
      </c>
      <c r="N12" s="95" t="n">
        <v>9</v>
      </c>
      <c r="O12" s="96" t="n">
        <v>1.1</v>
      </c>
    </row>
    <row r="13" ht="15" customHeight="1" s="55">
      <c r="A13" s="93" t="n">
        <v>3</v>
      </c>
      <c r="B13" s="97">
        <f>CHOOSE(MOD($B$3-1+(3-1),12)+1,"Янв","Фев","Мар","Апр","Май","Июн","Июл","Авг","Сен","Окт","Ноя","Дек")</f>
        <v/>
      </c>
      <c r="C13" s="98">
        <f>MIN(1,3/$B$5)</f>
        <v/>
      </c>
      <c r="D13" s="99">
        <f>INDEX($O$4:$O$15,MOD($B$3-1+(3-1),12)+1)</f>
        <v/>
      </c>
      <c r="E13" s="93">
        <f>$B$4*C13*D13</f>
        <v/>
      </c>
      <c r="F13" s="94">
        <f>E13*Допущения!B21</f>
        <v/>
      </c>
      <c r="G13" s="94">
        <f>E13*Допущения!B27</f>
        <v/>
      </c>
      <c r="H13" s="94">
        <f>Допущения!B50</f>
        <v/>
      </c>
      <c r="I13" s="94">
        <f>Финансирование!B22</f>
        <v/>
      </c>
      <c r="J13" s="94">
        <f>F13-G13-H13-I13</f>
        <v/>
      </c>
      <c r="K13" s="94">
        <f>K12+J13</f>
        <v/>
      </c>
      <c r="L13" s="93">
        <f>IF(K13&gt;0,1,0)</f>
        <v/>
      </c>
      <c r="N13" s="95" t="n">
        <v>10</v>
      </c>
      <c r="O13" s="96" t="n">
        <v>0.85</v>
      </c>
    </row>
    <row r="14" ht="15" customHeight="1" s="55">
      <c r="A14" s="93" t="n">
        <v>4</v>
      </c>
      <c r="B14" s="97">
        <f>CHOOSE(MOD($B$3-1+(4-1),12)+1,"Янв","Фев","Мар","Апр","Май","Июн","Июл","Авг","Сен","Окт","Ноя","Дек")</f>
        <v/>
      </c>
      <c r="C14" s="98">
        <f>MIN(1,4/$B$5)</f>
        <v/>
      </c>
      <c r="D14" s="99">
        <f>INDEX($O$4:$O$15,MOD($B$3-1+(4-1),12)+1)</f>
        <v/>
      </c>
      <c r="E14" s="93">
        <f>$B$4*C14*D14</f>
        <v/>
      </c>
      <c r="F14" s="94">
        <f>E14*Допущения!B21</f>
        <v/>
      </c>
      <c r="G14" s="94">
        <f>E14*Допущения!B27</f>
        <v/>
      </c>
      <c r="H14" s="94">
        <f>Допущения!B50</f>
        <v/>
      </c>
      <c r="I14" s="94">
        <f>Финансирование!B22</f>
        <v/>
      </c>
      <c r="J14" s="94">
        <f>F14-G14-H14-I14</f>
        <v/>
      </c>
      <c r="K14" s="94">
        <f>K13+J14</f>
        <v/>
      </c>
      <c r="L14" s="93">
        <f>IF(K14&gt;0,1,0)</f>
        <v/>
      </c>
      <c r="N14" s="95" t="n">
        <v>11</v>
      </c>
      <c r="O14" s="96" t="n">
        <v>0.55</v>
      </c>
    </row>
    <row r="15" ht="15" customHeight="1" s="55">
      <c r="A15" s="93" t="n">
        <v>5</v>
      </c>
      <c r="B15" s="97">
        <f>CHOOSE(MOD($B$3-1+(5-1),12)+1,"Янв","Фев","Мар","Апр","Май","Июн","Июл","Авг","Сен","Окт","Ноя","Дек")</f>
        <v/>
      </c>
      <c r="C15" s="98">
        <f>MIN(1,5/$B$5)</f>
        <v/>
      </c>
      <c r="D15" s="99">
        <f>INDEX($O$4:$O$15,MOD($B$3-1+(5-1),12)+1)</f>
        <v/>
      </c>
      <c r="E15" s="93">
        <f>$B$4*C15*D15</f>
        <v/>
      </c>
      <c r="F15" s="94">
        <f>E15*Допущения!B21</f>
        <v/>
      </c>
      <c r="G15" s="94">
        <f>E15*Допущения!B27</f>
        <v/>
      </c>
      <c r="H15" s="94">
        <f>Допущения!B50</f>
        <v/>
      </c>
      <c r="I15" s="94">
        <f>Финансирование!B22</f>
        <v/>
      </c>
      <c r="J15" s="94">
        <f>F15-G15-H15-I15</f>
        <v/>
      </c>
      <c r="K15" s="94">
        <f>K14+J15</f>
        <v/>
      </c>
      <c r="L15" s="93">
        <f>IF(K15&gt;0,1,0)</f>
        <v/>
      </c>
      <c r="N15" s="95" t="n">
        <v>12</v>
      </c>
      <c r="O15" s="96" t="n">
        <v>0.4</v>
      </c>
    </row>
    <row r="16" ht="15" customHeight="1" s="55">
      <c r="A16" s="93" t="n">
        <v>6</v>
      </c>
      <c r="B16" s="97">
        <f>CHOOSE(MOD($B$3-1+(6-1),12)+1,"Янв","Фев","Мар","Апр","Май","Июн","Июл","Авг","Сен","Окт","Ноя","Дек")</f>
        <v/>
      </c>
      <c r="C16" s="98">
        <f>MIN(1,6/$B$5)</f>
        <v/>
      </c>
      <c r="D16" s="99">
        <f>INDEX($O$4:$O$15,MOD($B$3-1+(6-1),12)+1)</f>
        <v/>
      </c>
      <c r="E16" s="93">
        <f>$B$4*C16*D16</f>
        <v/>
      </c>
      <c r="F16" s="94">
        <f>E16*Допущения!B21</f>
        <v/>
      </c>
      <c r="G16" s="94">
        <f>E16*Допущения!B27</f>
        <v/>
      </c>
      <c r="H16" s="94">
        <f>Допущения!B50</f>
        <v/>
      </c>
      <c r="I16" s="94">
        <f>Финансирование!B22</f>
        <v/>
      </c>
      <c r="J16" s="94">
        <f>F16-G16-H16-I16</f>
        <v/>
      </c>
      <c r="K16" s="94">
        <f>K15+J16</f>
        <v/>
      </c>
      <c r="L16" s="93">
        <f>IF(K16&gt;0,1,0)</f>
        <v/>
      </c>
      <c r="N16" s="74" t="inlineStr">
        <is>
          <t>ср.≈1.0</t>
        </is>
      </c>
    </row>
    <row r="17" ht="15" customHeight="1" s="55">
      <c r="A17" s="93" t="n">
        <v>7</v>
      </c>
      <c r="B17" s="97">
        <f>CHOOSE(MOD($B$3-1+(7-1),12)+1,"Янв","Фев","Мар","Апр","Май","Июн","Июл","Авг","Сен","Окт","Ноя","Дек")</f>
        <v/>
      </c>
      <c r="C17" s="98">
        <f>MIN(1,7/$B$5)</f>
        <v/>
      </c>
      <c r="D17" s="99">
        <f>INDEX($O$4:$O$15,MOD($B$3-1+(7-1),12)+1)</f>
        <v/>
      </c>
      <c r="E17" s="93">
        <f>$B$4*C17*D17</f>
        <v/>
      </c>
      <c r="F17" s="94">
        <f>E17*Допущения!B21</f>
        <v/>
      </c>
      <c r="G17" s="94">
        <f>E17*Допущения!B27</f>
        <v/>
      </c>
      <c r="H17" s="94">
        <f>Допущения!B50</f>
        <v/>
      </c>
      <c r="I17" s="94">
        <f>Финансирование!B22</f>
        <v/>
      </c>
      <c r="J17" s="94">
        <f>F17-G17-H17-I17</f>
        <v/>
      </c>
      <c r="K17" s="94">
        <f>K16+J17</f>
        <v/>
      </c>
      <c r="L17" s="93">
        <f>IF(K17&gt;0,1,0)</f>
        <v/>
      </c>
    </row>
    <row r="18" ht="15" customHeight="1" s="55">
      <c r="A18" s="93" t="n">
        <v>8</v>
      </c>
      <c r="B18" s="97">
        <f>CHOOSE(MOD($B$3-1+(8-1),12)+1,"Янв","Фев","Мар","Апр","Май","Июн","Июл","Авг","Сен","Окт","Ноя","Дек")</f>
        <v/>
      </c>
      <c r="C18" s="98">
        <f>MIN(1,8/$B$5)</f>
        <v/>
      </c>
      <c r="D18" s="99">
        <f>INDEX($O$4:$O$15,MOD($B$3-1+(8-1),12)+1)</f>
        <v/>
      </c>
      <c r="E18" s="93">
        <f>$B$4*C18*D18</f>
        <v/>
      </c>
      <c r="F18" s="94">
        <f>E18*Допущения!B21</f>
        <v/>
      </c>
      <c r="G18" s="94">
        <f>E18*Допущения!B27</f>
        <v/>
      </c>
      <c r="H18" s="94">
        <f>Допущения!B50</f>
        <v/>
      </c>
      <c r="I18" s="94">
        <f>Финансирование!B22</f>
        <v/>
      </c>
      <c r="J18" s="94">
        <f>F18-G18-H18-I18</f>
        <v/>
      </c>
      <c r="K18" s="94">
        <f>K17+J18</f>
        <v/>
      </c>
      <c r="L18" s="93">
        <f>IF(K18&gt;0,1,0)</f>
        <v/>
      </c>
    </row>
    <row r="19" ht="15" customHeight="1" s="55">
      <c r="A19" s="93" t="n">
        <v>9</v>
      </c>
      <c r="B19" s="97">
        <f>CHOOSE(MOD($B$3-1+(9-1),12)+1,"Янв","Фев","Мар","Апр","Май","Июн","Июл","Авг","Сен","Окт","Ноя","Дек")</f>
        <v/>
      </c>
      <c r="C19" s="98">
        <f>MIN(1,9/$B$5)</f>
        <v/>
      </c>
      <c r="D19" s="99">
        <f>INDEX($O$4:$O$15,MOD($B$3-1+(9-1),12)+1)</f>
        <v/>
      </c>
      <c r="E19" s="93">
        <f>$B$4*C19*D19</f>
        <v/>
      </c>
      <c r="F19" s="94">
        <f>E19*Допущения!B21</f>
        <v/>
      </c>
      <c r="G19" s="94">
        <f>E19*Допущения!B27</f>
        <v/>
      </c>
      <c r="H19" s="94">
        <f>Допущения!B50</f>
        <v/>
      </c>
      <c r="I19" s="94">
        <f>Финансирование!B22</f>
        <v/>
      </c>
      <c r="J19" s="94">
        <f>F19-G19-H19-I19</f>
        <v/>
      </c>
      <c r="K19" s="94">
        <f>K18+J19</f>
        <v/>
      </c>
      <c r="L19" s="93">
        <f>IF(K19&gt;0,1,0)</f>
        <v/>
      </c>
    </row>
    <row r="20" ht="15" customHeight="1" s="55">
      <c r="A20" s="93" t="n">
        <v>10</v>
      </c>
      <c r="B20" s="97">
        <f>CHOOSE(MOD($B$3-1+(10-1),12)+1,"Янв","Фев","Мар","Апр","Май","Июн","Июл","Авг","Сен","Окт","Ноя","Дек")</f>
        <v/>
      </c>
      <c r="C20" s="98">
        <f>MIN(1,10/$B$5)</f>
        <v/>
      </c>
      <c r="D20" s="99">
        <f>INDEX($O$4:$O$15,MOD($B$3-1+(10-1),12)+1)</f>
        <v/>
      </c>
      <c r="E20" s="93">
        <f>$B$4*C20*D20</f>
        <v/>
      </c>
      <c r="F20" s="94">
        <f>E20*Допущения!B21</f>
        <v/>
      </c>
      <c r="G20" s="94">
        <f>E20*Допущения!B27</f>
        <v/>
      </c>
      <c r="H20" s="94">
        <f>Допущения!B50</f>
        <v/>
      </c>
      <c r="I20" s="94">
        <f>Финансирование!B22</f>
        <v/>
      </c>
      <c r="J20" s="94">
        <f>F20-G20-H20-I20</f>
        <v/>
      </c>
      <c r="K20" s="94">
        <f>K19+J20</f>
        <v/>
      </c>
      <c r="L20" s="93">
        <f>IF(K20&gt;0,1,0)</f>
        <v/>
      </c>
    </row>
    <row r="21" ht="15" customHeight="1" s="55">
      <c r="A21" s="93" t="n">
        <v>11</v>
      </c>
      <c r="B21" s="97">
        <f>CHOOSE(MOD($B$3-1+(11-1),12)+1,"Янв","Фев","Мар","Апр","Май","Июн","Июл","Авг","Сен","Окт","Ноя","Дек")</f>
        <v/>
      </c>
      <c r="C21" s="98">
        <f>MIN(1,11/$B$5)</f>
        <v/>
      </c>
      <c r="D21" s="99">
        <f>INDEX($O$4:$O$15,MOD($B$3-1+(11-1),12)+1)</f>
        <v/>
      </c>
      <c r="E21" s="93">
        <f>$B$4*C21*D21</f>
        <v/>
      </c>
      <c r="F21" s="94">
        <f>E21*Допущения!B21</f>
        <v/>
      </c>
      <c r="G21" s="94">
        <f>E21*Допущения!B27</f>
        <v/>
      </c>
      <c r="H21" s="94">
        <f>Допущения!B50</f>
        <v/>
      </c>
      <c r="I21" s="94">
        <f>Финансирование!B22</f>
        <v/>
      </c>
      <c r="J21" s="94">
        <f>F21-G21-H21-I21</f>
        <v/>
      </c>
      <c r="K21" s="94">
        <f>K20+J21</f>
        <v/>
      </c>
      <c r="L21" s="93">
        <f>IF(K21&gt;0,1,0)</f>
        <v/>
      </c>
    </row>
    <row r="22" ht="15" customHeight="1" s="55">
      <c r="A22" s="93" t="n">
        <v>12</v>
      </c>
      <c r="B22" s="97">
        <f>CHOOSE(MOD($B$3-1+(12-1),12)+1,"Янв","Фев","Мар","Апр","Май","Июн","Июл","Авг","Сен","Окт","Ноя","Дек")</f>
        <v/>
      </c>
      <c r="C22" s="98">
        <f>MIN(1,12/$B$5)</f>
        <v/>
      </c>
      <c r="D22" s="99">
        <f>INDEX($O$4:$O$15,MOD($B$3-1+(12-1),12)+1)</f>
        <v/>
      </c>
      <c r="E22" s="93">
        <f>$B$4*C22*D22</f>
        <v/>
      </c>
      <c r="F22" s="94">
        <f>E22*Допущения!B21</f>
        <v/>
      </c>
      <c r="G22" s="94">
        <f>E22*Допущения!B27</f>
        <v/>
      </c>
      <c r="H22" s="94">
        <f>Допущения!B50</f>
        <v/>
      </c>
      <c r="I22" s="94">
        <f>Финансирование!B22</f>
        <v/>
      </c>
      <c r="J22" s="94">
        <f>F22-G22-H22-I22</f>
        <v/>
      </c>
      <c r="K22" s="94">
        <f>K21+J22</f>
        <v/>
      </c>
      <c r="L22" s="93">
        <f>IF(K22&gt;0,1,0)</f>
        <v/>
      </c>
    </row>
    <row r="23" ht="15" customHeight="1" s="55">
      <c r="A23" s="93" t="n">
        <v>13</v>
      </c>
      <c r="B23" s="97">
        <f>CHOOSE(MOD($B$3-1+(13-1),12)+1,"Янв","Фев","Мар","Апр","Май","Июн","Июл","Авг","Сен","Окт","Ноя","Дек")</f>
        <v/>
      </c>
      <c r="C23" s="98">
        <f>MIN(1,13/$B$5)</f>
        <v/>
      </c>
      <c r="D23" s="99">
        <f>INDEX($O$4:$O$15,MOD($B$3-1+(13-1),12)+1)</f>
        <v/>
      </c>
      <c r="E23" s="93">
        <f>$B$4*C23*D23</f>
        <v/>
      </c>
      <c r="F23" s="94">
        <f>E23*Допущения!B21</f>
        <v/>
      </c>
      <c r="G23" s="94">
        <f>E23*Допущения!B27</f>
        <v/>
      </c>
      <c r="H23" s="94">
        <f>Допущения!B50</f>
        <v/>
      </c>
      <c r="I23" s="94">
        <f>Финансирование!B22</f>
        <v/>
      </c>
      <c r="J23" s="94">
        <f>F23-G23-H23-I23</f>
        <v/>
      </c>
      <c r="K23" s="94">
        <f>K22+J23</f>
        <v/>
      </c>
      <c r="L23" s="93">
        <f>IF(K23&gt;0,1,0)</f>
        <v/>
      </c>
    </row>
    <row r="24" ht="15" customHeight="1" s="55">
      <c r="A24" s="93" t="n">
        <v>14</v>
      </c>
      <c r="B24" s="97">
        <f>CHOOSE(MOD($B$3-1+(14-1),12)+1,"Янв","Фев","Мар","Апр","Май","Июн","Июл","Авг","Сен","Окт","Ноя","Дек")</f>
        <v/>
      </c>
      <c r="C24" s="98">
        <f>MIN(1,14/$B$5)</f>
        <v/>
      </c>
      <c r="D24" s="99">
        <f>INDEX($O$4:$O$15,MOD($B$3-1+(14-1),12)+1)</f>
        <v/>
      </c>
      <c r="E24" s="93">
        <f>$B$4*C24*D24</f>
        <v/>
      </c>
      <c r="F24" s="94">
        <f>E24*Допущения!B21</f>
        <v/>
      </c>
      <c r="G24" s="94">
        <f>E24*Допущения!B27</f>
        <v/>
      </c>
      <c r="H24" s="94">
        <f>Допущения!B50</f>
        <v/>
      </c>
      <c r="I24" s="94">
        <f>Финансирование!B22</f>
        <v/>
      </c>
      <c r="J24" s="94">
        <f>F24-G24-H24-I24</f>
        <v/>
      </c>
      <c r="K24" s="94">
        <f>K23+J24</f>
        <v/>
      </c>
      <c r="L24" s="93">
        <f>IF(K24&gt;0,1,0)</f>
        <v/>
      </c>
    </row>
    <row r="25" ht="15" customHeight="1" s="55">
      <c r="A25" s="93" t="n">
        <v>15</v>
      </c>
      <c r="B25" s="97">
        <f>CHOOSE(MOD($B$3-1+(15-1),12)+1,"Янв","Фев","Мар","Апр","Май","Июн","Июл","Авг","Сен","Окт","Ноя","Дек")</f>
        <v/>
      </c>
      <c r="C25" s="98">
        <f>MIN(1,15/$B$5)</f>
        <v/>
      </c>
      <c r="D25" s="99">
        <f>INDEX($O$4:$O$15,MOD($B$3-1+(15-1),12)+1)</f>
        <v/>
      </c>
      <c r="E25" s="93">
        <f>$B$4*C25*D25</f>
        <v/>
      </c>
      <c r="F25" s="94">
        <f>E25*Допущения!B21</f>
        <v/>
      </c>
      <c r="G25" s="94">
        <f>E25*Допущения!B27</f>
        <v/>
      </c>
      <c r="H25" s="94">
        <f>Допущения!B50</f>
        <v/>
      </c>
      <c r="I25" s="94">
        <f>Финансирование!B22</f>
        <v/>
      </c>
      <c r="J25" s="94">
        <f>F25-G25-H25-I25</f>
        <v/>
      </c>
      <c r="K25" s="94">
        <f>K24+J25</f>
        <v/>
      </c>
      <c r="L25" s="93">
        <f>IF(K25&gt;0,1,0)</f>
        <v/>
      </c>
    </row>
    <row r="26" ht="15" customHeight="1" s="55">
      <c r="A26" s="93" t="n">
        <v>16</v>
      </c>
      <c r="B26" s="97">
        <f>CHOOSE(MOD($B$3-1+(16-1),12)+1,"Янв","Фев","Мар","Апр","Май","Июн","Июл","Авг","Сен","Окт","Ноя","Дек")</f>
        <v/>
      </c>
      <c r="C26" s="98">
        <f>MIN(1,16/$B$5)</f>
        <v/>
      </c>
      <c r="D26" s="99">
        <f>INDEX($O$4:$O$15,MOD($B$3-1+(16-1),12)+1)</f>
        <v/>
      </c>
      <c r="E26" s="93">
        <f>$B$4*C26*D26</f>
        <v/>
      </c>
      <c r="F26" s="94">
        <f>E26*Допущения!B21</f>
        <v/>
      </c>
      <c r="G26" s="94">
        <f>E26*Допущения!B27</f>
        <v/>
      </c>
      <c r="H26" s="94">
        <f>Допущения!B50</f>
        <v/>
      </c>
      <c r="I26" s="94">
        <f>Финансирование!B22</f>
        <v/>
      </c>
      <c r="J26" s="94">
        <f>F26-G26-H26-I26</f>
        <v/>
      </c>
      <c r="K26" s="94">
        <f>K25+J26</f>
        <v/>
      </c>
      <c r="L26" s="93">
        <f>IF(K26&gt;0,1,0)</f>
        <v/>
      </c>
    </row>
    <row r="27" ht="15" customHeight="1" s="55">
      <c r="A27" s="93" t="n">
        <v>17</v>
      </c>
      <c r="B27" s="97">
        <f>CHOOSE(MOD($B$3-1+(17-1),12)+1,"Янв","Фев","Мар","Апр","Май","Июн","Июл","Авг","Сен","Окт","Ноя","Дек")</f>
        <v/>
      </c>
      <c r="C27" s="98">
        <f>MIN(1,17/$B$5)</f>
        <v/>
      </c>
      <c r="D27" s="99">
        <f>INDEX($O$4:$O$15,MOD($B$3-1+(17-1),12)+1)</f>
        <v/>
      </c>
      <c r="E27" s="93">
        <f>$B$4*C27*D27</f>
        <v/>
      </c>
      <c r="F27" s="94">
        <f>E27*Допущения!B21</f>
        <v/>
      </c>
      <c r="G27" s="94">
        <f>E27*Допущения!B27</f>
        <v/>
      </c>
      <c r="H27" s="94">
        <f>Допущения!B50</f>
        <v/>
      </c>
      <c r="I27" s="94">
        <f>Финансирование!B22</f>
        <v/>
      </c>
      <c r="J27" s="94">
        <f>F27-G27-H27-I27</f>
        <v/>
      </c>
      <c r="K27" s="94">
        <f>K26+J27</f>
        <v/>
      </c>
      <c r="L27" s="93">
        <f>IF(K27&gt;0,1,0)</f>
        <v/>
      </c>
    </row>
    <row r="28" ht="15" customHeight="1" s="55">
      <c r="A28" s="93" t="n">
        <v>18</v>
      </c>
      <c r="B28" s="97">
        <f>CHOOSE(MOD($B$3-1+(18-1),12)+1,"Янв","Фев","Мар","Апр","Май","Июн","Июл","Авг","Сен","Окт","Ноя","Дек")</f>
        <v/>
      </c>
      <c r="C28" s="98">
        <f>MIN(1,18/$B$5)</f>
        <v/>
      </c>
      <c r="D28" s="99">
        <f>INDEX($O$4:$O$15,MOD($B$3-1+(18-1),12)+1)</f>
        <v/>
      </c>
      <c r="E28" s="93">
        <f>$B$4*C28*D28</f>
        <v/>
      </c>
      <c r="F28" s="94">
        <f>E28*Допущения!B21</f>
        <v/>
      </c>
      <c r="G28" s="94">
        <f>E28*Допущения!B27</f>
        <v/>
      </c>
      <c r="H28" s="94">
        <f>Допущения!B50</f>
        <v/>
      </c>
      <c r="I28" s="94">
        <f>Финансирование!B22</f>
        <v/>
      </c>
      <c r="J28" s="94">
        <f>F28-G28-H28-I28</f>
        <v/>
      </c>
      <c r="K28" s="94">
        <f>K27+J28</f>
        <v/>
      </c>
      <c r="L28" s="93">
        <f>IF(K28&gt;0,1,0)</f>
        <v/>
      </c>
    </row>
    <row r="29" ht="15" customHeight="1" s="55">
      <c r="A29" s="93" t="n">
        <v>19</v>
      </c>
      <c r="B29" s="97">
        <f>CHOOSE(MOD($B$3-1+(19-1),12)+1,"Янв","Фев","Мар","Апр","Май","Июн","Июл","Авг","Сен","Окт","Ноя","Дек")</f>
        <v/>
      </c>
      <c r="C29" s="98">
        <f>MIN(1,19/$B$5)</f>
        <v/>
      </c>
      <c r="D29" s="99">
        <f>INDEX($O$4:$O$15,MOD($B$3-1+(19-1),12)+1)</f>
        <v/>
      </c>
      <c r="E29" s="93">
        <f>$B$4*C29*D29</f>
        <v/>
      </c>
      <c r="F29" s="94">
        <f>E29*Допущения!B21</f>
        <v/>
      </c>
      <c r="G29" s="94">
        <f>E29*Допущения!B27</f>
        <v/>
      </c>
      <c r="H29" s="94">
        <f>Допущения!B50</f>
        <v/>
      </c>
      <c r="I29" s="94">
        <f>Финансирование!B22</f>
        <v/>
      </c>
      <c r="J29" s="94">
        <f>F29-G29-H29-I29</f>
        <v/>
      </c>
      <c r="K29" s="94">
        <f>K28+J29</f>
        <v/>
      </c>
      <c r="L29" s="93">
        <f>IF(K29&gt;0,1,0)</f>
        <v/>
      </c>
    </row>
    <row r="30" ht="15" customHeight="1" s="55">
      <c r="A30" s="93" t="n">
        <v>20</v>
      </c>
      <c r="B30" s="97">
        <f>CHOOSE(MOD($B$3-1+(20-1),12)+1,"Янв","Фев","Мар","Апр","Май","Июн","Июл","Авг","Сен","Окт","Ноя","Дек")</f>
        <v/>
      </c>
      <c r="C30" s="98">
        <f>MIN(1,20/$B$5)</f>
        <v/>
      </c>
      <c r="D30" s="99">
        <f>INDEX($O$4:$O$15,MOD($B$3-1+(20-1),12)+1)</f>
        <v/>
      </c>
      <c r="E30" s="93">
        <f>$B$4*C30*D30</f>
        <v/>
      </c>
      <c r="F30" s="94">
        <f>E30*Допущения!B21</f>
        <v/>
      </c>
      <c r="G30" s="94">
        <f>E30*Допущения!B27</f>
        <v/>
      </c>
      <c r="H30" s="94">
        <f>Допущения!B50</f>
        <v/>
      </c>
      <c r="I30" s="94">
        <f>Финансирование!B22</f>
        <v/>
      </c>
      <c r="J30" s="94">
        <f>F30-G30-H30-I30</f>
        <v/>
      </c>
      <c r="K30" s="94">
        <f>K29+J30</f>
        <v/>
      </c>
      <c r="L30" s="93">
        <f>IF(K30&gt;0,1,0)</f>
        <v/>
      </c>
    </row>
    <row r="31" ht="15" customHeight="1" s="55">
      <c r="A31" s="93" t="n">
        <v>21</v>
      </c>
      <c r="B31" s="97">
        <f>CHOOSE(MOD($B$3-1+(21-1),12)+1,"Янв","Фев","Мар","Апр","Май","Июн","Июл","Авг","Сен","Окт","Ноя","Дек")</f>
        <v/>
      </c>
      <c r="C31" s="98">
        <f>MIN(1,21/$B$5)</f>
        <v/>
      </c>
      <c r="D31" s="99">
        <f>INDEX($O$4:$O$15,MOD($B$3-1+(21-1),12)+1)</f>
        <v/>
      </c>
      <c r="E31" s="93">
        <f>$B$4*C31*D31</f>
        <v/>
      </c>
      <c r="F31" s="94">
        <f>E31*Допущения!B21</f>
        <v/>
      </c>
      <c r="G31" s="94">
        <f>E31*Допущения!B27</f>
        <v/>
      </c>
      <c r="H31" s="94">
        <f>Допущения!B50</f>
        <v/>
      </c>
      <c r="I31" s="94">
        <f>Финансирование!B22</f>
        <v/>
      </c>
      <c r="J31" s="94">
        <f>F31-G31-H31-I31</f>
        <v/>
      </c>
      <c r="K31" s="94">
        <f>K30+J31</f>
        <v/>
      </c>
      <c r="L31" s="93">
        <f>IF(K31&gt;0,1,0)</f>
        <v/>
      </c>
    </row>
    <row r="32" ht="15" customHeight="1" s="55">
      <c r="A32" s="93" t="n">
        <v>22</v>
      </c>
      <c r="B32" s="97">
        <f>CHOOSE(MOD($B$3-1+(22-1),12)+1,"Янв","Фев","Мар","Апр","Май","Июн","Июл","Авг","Сен","Окт","Ноя","Дек")</f>
        <v/>
      </c>
      <c r="C32" s="98">
        <f>MIN(1,22/$B$5)</f>
        <v/>
      </c>
      <c r="D32" s="99">
        <f>INDEX($O$4:$O$15,MOD($B$3-1+(22-1),12)+1)</f>
        <v/>
      </c>
      <c r="E32" s="93">
        <f>$B$4*C32*D32</f>
        <v/>
      </c>
      <c r="F32" s="94">
        <f>E32*Допущения!B21</f>
        <v/>
      </c>
      <c r="G32" s="94">
        <f>E32*Допущения!B27</f>
        <v/>
      </c>
      <c r="H32" s="94">
        <f>Допущения!B50</f>
        <v/>
      </c>
      <c r="I32" s="94">
        <f>Финансирование!B22</f>
        <v/>
      </c>
      <c r="J32" s="94">
        <f>F32-G32-H32-I32</f>
        <v/>
      </c>
      <c r="K32" s="94">
        <f>K31+J32</f>
        <v/>
      </c>
      <c r="L32" s="93">
        <f>IF(K32&gt;0,1,0)</f>
        <v/>
      </c>
    </row>
    <row r="33" ht="15" customHeight="1" s="55">
      <c r="A33" s="93" t="n">
        <v>23</v>
      </c>
      <c r="B33" s="97">
        <f>CHOOSE(MOD($B$3-1+(23-1),12)+1,"Янв","Фев","Мар","Апр","Май","Июн","Июл","Авг","Сен","Окт","Ноя","Дек")</f>
        <v/>
      </c>
      <c r="C33" s="98">
        <f>MIN(1,23/$B$5)</f>
        <v/>
      </c>
      <c r="D33" s="99">
        <f>INDEX($O$4:$O$15,MOD($B$3-1+(23-1),12)+1)</f>
        <v/>
      </c>
      <c r="E33" s="93">
        <f>$B$4*C33*D33</f>
        <v/>
      </c>
      <c r="F33" s="94">
        <f>E33*Допущения!B21</f>
        <v/>
      </c>
      <c r="G33" s="94">
        <f>E33*Допущения!B27</f>
        <v/>
      </c>
      <c r="H33" s="94">
        <f>Допущения!B50</f>
        <v/>
      </c>
      <c r="I33" s="94">
        <f>Финансирование!B22</f>
        <v/>
      </c>
      <c r="J33" s="94">
        <f>F33-G33-H33-I33</f>
        <v/>
      </c>
      <c r="K33" s="94">
        <f>K32+J33</f>
        <v/>
      </c>
      <c r="L33" s="93">
        <f>IF(K33&gt;0,1,0)</f>
        <v/>
      </c>
    </row>
    <row r="34" ht="15" customHeight="1" s="55">
      <c r="A34" s="93" t="n">
        <v>24</v>
      </c>
      <c r="B34" s="97">
        <f>CHOOSE(MOD($B$3-1+(24-1),12)+1,"Янв","Фев","Мар","Апр","Май","Июн","Июл","Авг","Сен","Окт","Ноя","Дек")</f>
        <v/>
      </c>
      <c r="C34" s="98">
        <f>MIN(1,24/$B$5)</f>
        <v/>
      </c>
      <c r="D34" s="99">
        <f>INDEX($O$4:$O$15,MOD($B$3-1+(24-1),12)+1)</f>
        <v/>
      </c>
      <c r="E34" s="93">
        <f>$B$4*C34*D34</f>
        <v/>
      </c>
      <c r="F34" s="94">
        <f>E34*Допущения!B21</f>
        <v/>
      </c>
      <c r="G34" s="94">
        <f>E34*Допущения!B27</f>
        <v/>
      </c>
      <c r="H34" s="94">
        <f>Допущения!B50</f>
        <v/>
      </c>
      <c r="I34" s="94">
        <f>Финансирование!B22</f>
        <v/>
      </c>
      <c r="J34" s="94">
        <f>F34-G34-H34-I34</f>
        <v/>
      </c>
      <c r="K34" s="94">
        <f>K33+J34</f>
        <v/>
      </c>
      <c r="L34" s="93">
        <f>IF(K34&gt;0,1,0)</f>
        <v/>
      </c>
    </row>
    <row r="36" ht="15" customHeight="1" s="55">
      <c r="A36" s="64" t="inlineStr">
        <is>
          <t>Прибыль год 1 (мес 1–12), $</t>
        </is>
      </c>
      <c r="F36" s="100">
        <f>SUM(J11:J22)</f>
        <v/>
      </c>
    </row>
    <row r="37" ht="15" customHeight="1" s="55">
      <c r="A37" s="64" t="inlineStr">
        <is>
          <t>Прибыль год 2 (мес 13–24), $</t>
        </is>
      </c>
      <c r="F37" s="100">
        <f>SUM(J23:J34)</f>
        <v/>
      </c>
    </row>
    <row r="38" ht="15" customHeight="1" s="55">
      <c r="A38" s="64" t="inlineStr">
        <is>
          <t>Кэш-фло выходит в плюс, мес №</t>
        </is>
      </c>
      <c r="F38" s="101">
        <f>IFERROR(INDEX(A11:A34,MATCH(1,L11:L34,0)),"не в 24 мес")</f>
        <v/>
      </c>
    </row>
    <row r="39" ht="15" customHeight="1" s="55">
      <c r="A39" s="64" t="inlineStr">
        <is>
          <t>Мин. накопл. кэш (макс. яма), $</t>
        </is>
      </c>
      <c r="F39" s="100">
        <f>MIN(K11:K34)</f>
        <v/>
      </c>
    </row>
  </sheetData>
  <mergeCells count="1">
    <mergeCell ref="A1:L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A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00" customWidth="1" style="54" min="1" max="1"/>
  </cols>
  <sheetData>
    <row r="1" ht="17.25" customHeight="1" s="55">
      <c r="A1" s="56" t="inlineStr">
        <is>
          <t>Рынок, спрос и выводы</t>
        </is>
      </c>
    </row>
    <row r="3" ht="15" customHeight="1" s="55">
      <c r="A3" s="102" t="n"/>
    </row>
    <row r="4" ht="15" customHeight="1" s="55">
      <c r="A4" s="103" t="inlineStr">
        <is>
          <t>РАЗМЕР РЫНКА</t>
        </is>
      </c>
    </row>
    <row r="5" ht="15" customHeight="1" s="55">
      <c r="A5" s="102" t="inlineStr">
        <is>
          <t>• Метро Сакраменто ~2.4 млн чел., Bay Area ~7.7 млн — огромный рынок замены заборов.</t>
        </is>
      </c>
    </row>
    <row r="6" ht="26.25" customHeight="1" s="55">
      <c r="A6" s="102" t="inlineStr">
        <is>
          <t>• Базовый деревянный privacy-забор в Сакраменто: $45–55/фут установлено; premium surfaced redwood $70–120/фут.</t>
        </is>
      </c>
    </row>
    <row r="7" ht="26.25" customHeight="1" s="55">
      <c r="A7" s="102" t="inlineStr">
        <is>
          <t>• Горизонтальные заборы — №1 по приросту оценочной стоимости дома в Сакраменто (премиальный сегмент готов платить).</t>
        </is>
      </c>
    </row>
    <row r="8" ht="15" customHeight="1" s="55">
      <c r="A8" s="102" t="n"/>
    </row>
    <row r="9" ht="15" customHeight="1" s="55">
      <c r="A9" s="103" t="inlineStr">
        <is>
          <t>БЕЛОЕ ПЯТНО (новизна)</t>
        </is>
      </c>
    </row>
    <row r="10" ht="26.25" customHeight="1" s="55">
      <c r="A10" s="102" t="inlineStr">
        <is>
          <t>• Перманентных UV-муралов прямо по доскам деревянного забора в жилом сегменте НИКТО не предлагает.</t>
        </is>
      </c>
    </row>
    <row r="11" ht="26.25" customHeight="1" s="55">
      <c r="A11" s="102" t="inlineStr">
        <is>
          <t>• Существующее «печатное» — временная сетка/винил на rabitz для рекламы (FenceScreen, Ball Fabrics) и виниловые обои-муралы.</t>
        </is>
      </c>
    </row>
    <row r="12" ht="26.25" customHeight="1" s="55">
      <c r="A12" s="102" t="inlineStr">
        <is>
          <t>• Тайлинг по плиткам — отраслевой стандарт (SpeedPro печатает муралы плитками встык). Ваш дифференциатор — настоящее дерево + перманент.</t>
        </is>
      </c>
    </row>
    <row r="13" ht="15" customHeight="1" s="55">
      <c r="A13" s="102" t="n"/>
    </row>
    <row r="14" ht="15" customHeight="1" s="55">
      <c r="A14" s="103" t="inlineStr">
        <is>
          <t>РИСК</t>
        </is>
      </c>
    </row>
    <row r="15" ht="26.25" customHeight="1" s="55">
      <c r="A15" s="102" t="inlineStr">
        <is>
          <t>• Спрос на ЭТОТ продукт не доказан — нет рынка-аналога. Нужно валидировать пилотами и фото-кейсами.</t>
        </is>
      </c>
    </row>
    <row r="16" ht="26.25" customHeight="1" s="55">
      <c r="A16" s="102" t="inlineStr">
        <is>
          <t>• Демпфер риска: станок универсален. Между заборами он зарабатывает на вывесках, ACM/акриле, real-estate, кастом-дереве, наградах, декоре.</t>
        </is>
      </c>
    </row>
    <row r="17" ht="26.25" customHeight="1" s="55">
      <c r="A17" s="102" t="inlineStr">
        <is>
          <t>• Синергия: ваш доступ к дереву (arborist) — слэбы/спилы; Dianas Weddings — таблички, бэкдропы, сувениры; локальный B2B (рестораны, винодельни, школы, HOA, парки).</t>
        </is>
      </c>
    </row>
    <row r="18" ht="15" customHeight="1" s="55">
      <c r="A18" s="102" t="n"/>
    </row>
    <row r="19" ht="15" customHeight="1" s="55">
      <c r="A19" s="103" t="inlineStr">
        <is>
          <t>ВЫВОД</t>
        </is>
      </c>
    </row>
    <row r="20" ht="26.25" customHeight="1" s="55">
      <c r="A20" s="102" t="inlineStr">
        <is>
          <t>• Юнит-экономика отличная: валовая маржа печати 85%+, точка безубыточности достигается на низкой загрузке.</t>
        </is>
      </c>
    </row>
    <row r="21" ht="26.25" customHeight="1" s="55">
      <c r="A21" s="102" t="inlineStr">
        <is>
          <t>• Главный риск — продажи/спрос, а не себестоимость. Машина окупается даже при скромной загрузке.</t>
        </is>
      </c>
    </row>
    <row r="22" ht="26.25" customHeight="1" s="55">
      <c r="A22" s="102" t="inlineStr">
        <is>
          <t>• Соло реалистично: рамп ~$50K/год → устоявшийся ~$150–180K/год прибыли владельцу. &gt;$200K требует найма (уже не «сам»).</t>
        </is>
      </c>
    </row>
    <row r="23" ht="26.25" customHeight="1" s="55">
      <c r="A23" s="102" t="inlineStr">
        <is>
          <t>• Рекомендация: заходить через универсальный UV-флэтбед-сервис как базу, забор-мурал — как флагман-дифференциатор; 2–3 пилотных забора для кейсов перед масштабированием.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2026-06-18T15:16:19Z</dcterms:created>
  <dcterms:modified xmlns:dcterms="http://purl.org/dc/terms/" xmlns:xsi="http://www.w3.org/2001/XMLSchema-instance" xsi:type="dcterms:W3CDTF">2026-06-21T05:52:37Z</dcterms:modified>
  <cp:revision>0</cp:revision>
</cp:coreProperties>
</file>