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Дашборд" sheetId="1" state="visible" r:id="rId1"/>
    <sheet xmlns:r="http://schemas.openxmlformats.org/officeDocument/2006/relationships" name="Микс и цена" sheetId="2" state="visible" r:id="rId2"/>
    <sheet xmlns:r="http://schemas.openxmlformats.org/officeDocument/2006/relationships" name="Переменные" sheetId="3" state="visible" r:id="rId3"/>
    <sheet xmlns:r="http://schemas.openxmlformats.org/officeDocument/2006/relationships" name="Штат" sheetId="4" state="visible" r:id="rId4"/>
    <sheet xmlns:r="http://schemas.openxmlformats.org/officeDocument/2006/relationships" name="Постоянные" sheetId="5" state="visible" r:id="rId5"/>
    <sheet xmlns:r="http://schemas.openxmlformats.org/officeDocument/2006/relationships" name="CapEx" sheetId="6" state="visible" r:id="rId6"/>
    <sheet xmlns:r="http://schemas.openxmlformats.org/officeDocument/2006/relationships" name="Мощность" sheetId="7" state="visible" r:id="rId7"/>
    <sheet xmlns:r="http://schemas.openxmlformats.org/officeDocument/2006/relationships" name="Схема и поставщики" sheetId="8" state="visible" r:id="rId8"/>
    <sheet xmlns:r="http://schemas.openxmlformats.org/officeDocument/2006/relationships" name="Допущения" sheetId="9" state="visible" r:id="rId9"/>
    <sheet xmlns:r="http://schemas.openxmlformats.org/officeDocument/2006/relationships" name="Помесячно Y1" sheetId="10" state="visible" r:id="rId10"/>
    <sheet xmlns:r="http://schemas.openxmlformats.org/officeDocument/2006/relationships" name="3 года и ROI" sheetId="11" state="visible" r:id="rId11"/>
    <sheet xmlns:r="http://schemas.openxmlformats.org/officeDocument/2006/relationships" name="Сценарии" sheetId="12" state="visible" r:id="rId12"/>
    <sheet xmlns:r="http://schemas.openxmlformats.org/officeDocument/2006/relationships" name="Аналитика" sheetId="13" state="visible" r:id="rId13"/>
    <sheet xmlns:r="http://schemas.openxmlformats.org/officeDocument/2006/relationships" name="Лизинг" sheetId="14" state="visible" r:id="rId14"/>
    <sheet xmlns:r="http://schemas.openxmlformats.org/officeDocument/2006/relationships" name="Checks" sheetId="15" state="visible" r:id="rId1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"/>
    <numFmt numFmtId="166" formatCode="$#,##0;[Red]($#,##0);-"/>
    <numFmt numFmtId="167" formatCode="0.0%;[Red](0.0%);-"/>
  </numFmts>
  <fonts count="8">
    <font>
      <name val="Calibri"/>
      <family val="2"/>
      <color theme="1"/>
      <sz val="11"/>
      <scheme val="minor"/>
    </font>
    <font>
      <b val="1"/>
      <sz val="13"/>
    </font>
    <font>
      <i val="1"/>
      <color rgb="00666666"/>
    </font>
    <font>
      <b val="1"/>
      <color rgb="00FFFFFF"/>
    </font>
    <font>
      <b val="1"/>
    </font>
    <font>
      <b val="1"/>
      <sz val="12"/>
    </font>
    <font>
      <b val="1"/>
      <color rgb="001F2A44"/>
      <sz val="13"/>
    </font>
    <font>
      <b val="1"/>
      <color rgb="001F2A44"/>
    </font>
  </fonts>
  <fills count="10">
    <fill>
      <patternFill/>
    </fill>
    <fill>
      <patternFill patternType="gray125"/>
    </fill>
    <fill>
      <patternFill patternType="solid">
        <fgColor rgb="001F2A37"/>
      </patternFill>
    </fill>
    <fill>
      <patternFill patternType="solid">
        <fgColor rgb="00FFF2CC"/>
      </patternFill>
    </fill>
    <fill>
      <patternFill patternType="solid">
        <fgColor rgb="00E7EEF7"/>
      </patternFill>
    </fill>
    <fill>
      <patternFill patternType="solid">
        <fgColor rgb="00FDEEDC"/>
      </patternFill>
    </fill>
    <fill>
      <patternFill patternType="solid">
        <fgColor rgb="001F2937"/>
      </patternFill>
    </fill>
    <fill>
      <patternFill patternType="solid">
        <fgColor rgb="001F2A44"/>
      </patternFill>
    </fill>
    <fill>
      <patternFill patternType="solid">
        <fgColor rgb="00E8EEF7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D9E2EC"/>
      </left>
      <right style="thin">
        <color rgb="00D9E2EC"/>
      </right>
      <top style="thin">
        <color rgb="00D9E2EC"/>
      </top>
      <bottom style="thin">
        <color rgb="00D9E2EC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3" fontId="4" fillId="0" borderId="0" pivotButton="0" quotePrefix="0" xfId="0"/>
    <xf numFmtId="164" fontId="4" fillId="0" borderId="0" pivotButton="0" quotePrefix="0" xfId="0"/>
    <xf numFmtId="1" fontId="4" fillId="0" borderId="0" pivotButton="0" quotePrefix="0" xfId="0"/>
    <xf numFmtId="2" fontId="4" fillId="0" borderId="0" pivotButton="0" quotePrefix="0" xfId="0"/>
    <xf numFmtId="0" fontId="3" fillId="2" borderId="0" applyAlignment="1" pivotButton="0" quotePrefix="0" xfId="0">
      <alignment vertical="center" wrapText="1"/>
    </xf>
    <xf numFmtId="164" fontId="0" fillId="3" borderId="0" pivotButton="0" quotePrefix="0" xfId="0"/>
    <xf numFmtId="3" fontId="0" fillId="3" borderId="0" pivotButton="0" quotePrefix="0" xfId="0"/>
    <xf numFmtId="0" fontId="4" fillId="0" borderId="0" pivotButton="0" quotePrefix="0" xfId="0"/>
    <xf numFmtId="0" fontId="5" fillId="0" borderId="0" pivotButton="0" quotePrefix="0" xfId="0"/>
    <xf numFmtId="3" fontId="5" fillId="4" borderId="0" pivotButton="0" quotePrefix="0" xfId="0"/>
    <xf numFmtId="3" fontId="0" fillId="0" borderId="0" pivotButton="0" quotePrefix="0" xfId="0"/>
    <xf numFmtId="3" fontId="4" fillId="4" borderId="0" pivotButton="0" quotePrefix="0" xfId="0"/>
    <xf numFmtId="0" fontId="0" fillId="3" borderId="0" pivotButton="0" quotePrefix="0" xfId="0"/>
    <xf numFmtId="0" fontId="4" fillId="4" borderId="0" pivotButton="0" quotePrefix="0" xfId="0"/>
    <xf numFmtId="0" fontId="5" fillId="4" borderId="0" pivotButton="0" quotePrefix="0" xfId="0"/>
    <xf numFmtId="165" fontId="0" fillId="3" borderId="0" pivotButton="0" quotePrefix="0" xfId="0"/>
    <xf numFmtId="1" fontId="0" fillId="3" borderId="0" pivotButton="0" quotePrefix="0" xfId="0"/>
    <xf numFmtId="165" fontId="0" fillId="0" borderId="0" pivotButton="0" quotePrefix="0" xfId="0"/>
    <xf numFmtId="1" fontId="0" fillId="0" borderId="0" pivotButton="0" quotePrefix="0" xfId="0"/>
    <xf numFmtId="164" fontId="0" fillId="0" borderId="0" pivotButton="0" quotePrefix="0" xfId="0"/>
    <xf numFmtId="0" fontId="4" fillId="5" borderId="0" pivotButton="0" quotePrefix="0" xfId="0"/>
    <xf numFmtId="0" fontId="0" fillId="5" borderId="0" pivotButton="0" quotePrefix="0" xfId="0"/>
    <xf numFmtId="165" fontId="4" fillId="0" borderId="0" pivotButton="0" quotePrefix="0" xfId="0"/>
    <xf numFmtId="0" fontId="3" fillId="6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top" wrapText="1"/>
    </xf>
    <xf numFmtId="0" fontId="0" fillId="0" borderId="1" applyAlignment="1" pivotButton="0" quotePrefix="0" xfId="0">
      <alignment vertical="top" wrapText="1"/>
    </xf>
    <xf numFmtId="0" fontId="3" fillId="2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166" fontId="0" fillId="0" borderId="1" applyAlignment="1" pivotButton="0" quotePrefix="0" xfId="0">
      <alignment vertical="top" wrapText="1"/>
    </xf>
    <xf numFmtId="167" fontId="0" fillId="0" borderId="1" applyAlignment="1" pivotButton="0" quotePrefix="0" xfId="0">
      <alignment vertical="top" wrapText="1"/>
    </xf>
    <xf numFmtId="0" fontId="3" fillId="7" borderId="0" applyAlignment="1" pivotButton="0" quotePrefix="0" xfId="0">
      <alignment vertical="center" wrapText="1"/>
    </xf>
    <xf numFmtId="3" fontId="4" fillId="8" borderId="0" pivotButton="0" quotePrefix="0" xfId="0"/>
    <xf numFmtId="3" fontId="4" fillId="3" borderId="0" pivotButton="0" quotePrefix="0" xfId="0"/>
    <xf numFmtId="0" fontId="4" fillId="8" borderId="0" pivotButton="0" quotePrefix="0" xfId="0"/>
    <xf numFmtId="0" fontId="7" fillId="0" borderId="0" pivotButton="0" quotePrefix="0" xfId="0"/>
    <xf numFmtId="0" fontId="6" fillId="0" borderId="0" pivotButton="0" quotePrefix="0" xfId="0"/>
    <xf numFmtId="0" fontId="3" fillId="7" borderId="0" pivotButton="0" quotePrefix="0" xfId="0"/>
    <xf numFmtId="0" fontId="4" fillId="9" borderId="0" pivotButton="0" quotePrefix="0" xfId="0"/>
    <xf numFmtId="164" fontId="4" fillId="9" borderId="0" pivotButton="0" quotePrefix="0" xfId="0"/>
    <xf numFmtId="0" fontId="3" fillId="7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top" wrapText="1"/>
    </xf>
    <xf numFmtId="164" fontId="0" fillId="3" borderId="1" applyAlignment="1" pivotButton="0" quotePrefix="0" xfId="0">
      <alignment vertical="top" wrapText="1"/>
    </xf>
    <xf numFmtId="1" fontId="0" fillId="3" borderId="1" applyAlignment="1" pivotButton="0" quotePrefix="0" xfId="0">
      <alignment vertical="top" wrapText="1"/>
    </xf>
    <xf numFmtId="3" fontId="4" fillId="9" borderId="1" applyAlignment="1" pivotButton="0" quotePrefix="0" xfId="0">
      <alignment vertical="top" wrapText="1"/>
    </xf>
    <xf numFmtId="3" fontId="4" fillId="9" borderId="0" pivotButton="0" quotePrefix="0" xfId="0"/>
    <xf numFmtId="0" fontId="3" fillId="0" borderId="1" applyAlignment="1" pivotButton="0" quotePrefix="0" xfId="0">
      <alignment vertical="center" wrapText="1"/>
    </xf>
    <xf numFmtId="0" fontId="7" fillId="0" borderId="1" applyAlignment="1" pivotButton="0" quotePrefix="0" xfId="0">
      <alignment vertical="top" wrapText="1"/>
    </xf>
    <xf numFmtId="0" fontId="3" fillId="7" borderId="1" applyAlignment="1" pivotButton="0" quotePrefix="0" xfId="0">
      <alignment vertical="top" wrapText="1"/>
    </xf>
    <xf numFmtId="166" fontId="3" fillId="7" borderId="1" applyAlignment="1" pivotButton="0" quotePrefix="0" xfId="0">
      <alignment vertical="top" wrapText="1"/>
    </xf>
    <xf numFmtId="0" fontId="4" fillId="9" borderId="1" applyAlignment="1" pivotButton="0" quotePrefix="0" xfId="0">
      <alignment vertical="top" wrapText="1"/>
    </xf>
    <xf numFmtId="164" fontId="4" fillId="9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styles" Target="styles.xml" Id="rId16"/><Relationship Type="http://schemas.openxmlformats.org/officeDocument/2006/relationships/theme" Target="theme/theme1.xml" Id="rId1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1"/>
  <sheetViews>
    <sheetView workbookViewId="0">
      <selection activeCell="A1" sqref="A1"/>
    </sheetView>
  </sheetViews>
  <sheetFormatPr baseColWidth="8" defaultRowHeight="15"/>
  <cols>
    <col width="42" customWidth="1" min="1" max="1"/>
    <col width="18" customWidth="1" min="2" max="2"/>
  </cols>
  <sheetData>
    <row r="1">
      <c r="A1" s="1" t="inlineStr">
        <is>
          <t>ДАШБОРД ИНВЕСТОРА</t>
        </is>
      </c>
    </row>
    <row r="2">
      <c r="A2" s="2" t="inlineStr">
        <is>
          <t>Автопересчёт. База: Агрессивный 1 смена + онлайн-конфигуратор. Основной вход — ЛИЗИНГ оборудования.</t>
        </is>
      </c>
    </row>
    <row r="4">
      <c r="A4" t="inlineStr">
        <is>
          <t>Объём раунда, $</t>
        </is>
      </c>
      <c r="B4" s="3">
        <f>Допущения!$B$9</f>
        <v/>
      </c>
    </row>
    <row r="5">
      <c r="A5" t="inlineStr">
        <is>
          <t>Средний чек (опт), $/кухня</t>
        </is>
      </c>
      <c r="B5" s="3">
        <f>Допущения!$B$4</f>
        <v/>
      </c>
    </row>
    <row r="6">
      <c r="A6" t="inlineStr">
        <is>
          <t>Маржинальность, %</t>
        </is>
      </c>
      <c r="B6" s="4">
        <f>Допущения!B7</f>
        <v/>
      </c>
    </row>
    <row r="7">
      <c r="A7" t="inlineStr">
        <is>
          <t>Мощность 1 смена, кухонь/год</t>
        </is>
      </c>
      <c r="B7" s="5">
        <f>Мощность!B6</f>
        <v/>
      </c>
    </row>
    <row r="8">
      <c r="A8" t="inlineStr">
        <is>
          <t>Выручка — Год 1, $</t>
        </is>
      </c>
      <c r="B8" s="3">
        <f>'3 года и ROI'!B5</f>
        <v/>
      </c>
    </row>
    <row r="9">
      <c r="A9" t="inlineStr">
        <is>
          <t>Выручка — Год 3, $</t>
        </is>
      </c>
      <c r="B9" s="3">
        <f>'3 года и ROI'!D5</f>
        <v/>
      </c>
    </row>
    <row r="10">
      <c r="A10" t="inlineStr">
        <is>
          <t>EBITDA — Год 3, $</t>
        </is>
      </c>
      <c r="B10" s="3">
        <f>'3 года и ROI'!D10</f>
        <v/>
      </c>
    </row>
    <row r="11">
      <c r="A11" t="inlineStr">
        <is>
          <t>Маржа EBITDA — Год 3, %</t>
        </is>
      </c>
      <c r="B11" s="4">
        <f>'3 года и ROI'!D11</f>
        <v/>
      </c>
    </row>
    <row r="12">
      <c r="A12" t="inlineStr">
        <is>
          <t>Чистая прибыль — Год 3, $</t>
        </is>
      </c>
      <c r="B12" s="3">
        <f>'3 года и ROI'!D15</f>
        <v/>
      </c>
    </row>
    <row r="13">
      <c r="A13" t="inlineStr">
        <is>
          <t>Месяц выхода в плюс (EBITDA)</t>
        </is>
      </c>
      <c r="B13" s="5">
        <f>'Помесячно Y1'!B18</f>
        <v/>
      </c>
    </row>
    <row r="14">
      <c r="A14" t="inlineStr">
        <is>
          <t>Окупаемость по EBITDA, лет</t>
        </is>
      </c>
      <c r="B14" s="6">
        <f>'3 года и ROI'!B21</f>
        <v/>
      </c>
    </row>
    <row r="15">
      <c r="A15" t="inlineStr">
        <is>
          <t>Окупаемость после налога, лет</t>
        </is>
      </c>
      <c r="B15" s="6">
        <f>'3 года и ROI'!B23</f>
        <v/>
      </c>
    </row>
    <row r="16">
      <c r="A16" t="inlineStr">
        <is>
          <t>ROI EBITDA Y3 / раунд, %</t>
        </is>
      </c>
      <c r="B16" s="4">
        <f>'3 года и ROI'!B24</f>
        <v/>
      </c>
    </row>
    <row r="17">
      <c r="A17" t="inlineStr">
        <is>
          <t>ROI после налога Y3 / раунд, %</t>
        </is>
      </c>
      <c r="B17" s="4">
        <f>'3 года и ROI'!B25</f>
        <v/>
      </c>
    </row>
    <row r="18">
      <c r="A18" s="39" t="inlineStr">
        <is>
          <t>— ЛИЗИНГ (основной вход) —</t>
        </is>
      </c>
    </row>
    <row r="19">
      <c r="A19" t="inlineStr">
        <is>
          <t>Вход инвестора при лизинге (equity), $</t>
        </is>
      </c>
      <c r="B19" s="13">
        <f>Лизинг!B12</f>
        <v/>
      </c>
    </row>
    <row r="20">
      <c r="A20" t="inlineStr">
        <is>
          <t>Лизинг-платёж, $/мес (база)</t>
        </is>
      </c>
      <c r="B20" s="13">
        <f>Лизинг!B10</f>
        <v/>
      </c>
    </row>
    <row r="21">
      <c r="A21" t="inlineStr">
        <is>
          <t>ROI Y3 при лизинге (агрессив), %</t>
        </is>
      </c>
      <c r="B21" s="22">
        <f>Лизинг!C27</f>
        <v/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8"/>
  <sheetViews>
    <sheetView workbookViewId="0">
      <selection activeCell="A1" sqref="A1"/>
    </sheetView>
  </sheetViews>
  <sheetFormatPr baseColWidth="8" defaultRowHeight="15"/>
  <cols>
    <col width="6" customWidth="1" min="1" max="1"/>
    <col width="8" customWidth="1" min="2" max="2"/>
    <col width="9" customWidth="1" min="3" max="3"/>
    <col width="12" customWidth="1" min="4" max="4"/>
    <col width="11" customWidth="1" min="5" max="5"/>
    <col width="13" customWidth="1" min="6" max="6"/>
    <col width="11" customWidth="1" min="7" max="7"/>
    <col width="11" customWidth="1" min="8" max="8"/>
    <col width="12" customWidth="1" min="9" max="9"/>
    <col width="9" customWidth="1" min="10" max="10"/>
    <col width="13" customWidth="1" min="11" max="11"/>
  </cols>
  <sheetData>
    <row r="1">
      <c r="A1" s="1" t="inlineStr">
        <is>
          <t>ПОМЕСЯЧНЫЙ ПЛАН — ГОД 1</t>
        </is>
      </c>
    </row>
    <row r="3">
      <c r="A3" s="7" t="inlineStr">
        <is>
          <t>Мес</t>
        </is>
      </c>
      <c r="B3" s="7" t="inlineStr">
        <is>
          <t>Кухонь</t>
        </is>
      </c>
      <c r="C3" s="7" t="inlineStr">
        <is>
          <t>Чек, $</t>
        </is>
      </c>
      <c r="D3" s="7" t="inlineStr">
        <is>
          <t>Выручка, $</t>
        </is>
      </c>
      <c r="E3" s="7" t="inlineStr">
        <is>
          <t>Перем., $</t>
        </is>
      </c>
      <c r="F3" s="7" t="inlineStr">
        <is>
          <t>Маржин. дох., $</t>
        </is>
      </c>
      <c r="G3" s="7" t="inlineStr">
        <is>
          <t>Пост., $</t>
        </is>
      </c>
      <c r="H3" s="7" t="inlineStr">
        <is>
          <t>Реклама, $</t>
        </is>
      </c>
      <c r="I3" s="7" t="inlineStr">
        <is>
          <t>EBITDA, $</t>
        </is>
      </c>
      <c r="J3" s="7" t="inlineStr">
        <is>
          <t>EBITDA&gt;0</t>
        </is>
      </c>
      <c r="K3" s="7" t="inlineStr">
        <is>
          <t>Накопл., $</t>
        </is>
      </c>
    </row>
    <row r="4">
      <c r="A4" t="n">
        <v>1</v>
      </c>
      <c r="B4" s="21">
        <f>Допущения!B22</f>
        <v/>
      </c>
      <c r="C4" s="13">
        <f>Допущения!$B$4</f>
        <v/>
      </c>
      <c r="D4" s="13">
        <f>B4*C4</f>
        <v/>
      </c>
      <c r="E4" s="13">
        <f>B4*Переменные!B11</f>
        <v/>
      </c>
      <c r="F4" s="13">
        <f>B4*Допущения!$B$6</f>
        <v/>
      </c>
      <c r="G4" s="13">
        <f>IF(A4&lt;=Допущения!$B$8,Постоянные!B25,Постоянные!C25)</f>
        <v/>
      </c>
      <c r="H4" s="13">
        <f>MAX(Допущения!$B$18,Допущения!$B$19*D4)-Допущения!$B$18</f>
        <v/>
      </c>
      <c r="I4" s="13">
        <f>F4-G4-H4</f>
        <v/>
      </c>
      <c r="J4" s="21">
        <f>IF(I4&gt;0,1,0)</f>
        <v/>
      </c>
      <c r="K4" s="13">
        <f>I4</f>
        <v/>
      </c>
    </row>
    <row r="5">
      <c r="A5" t="n">
        <v>2</v>
      </c>
      <c r="B5" s="21">
        <f>Допущения!B23</f>
        <v/>
      </c>
      <c r="C5" s="13">
        <f>Допущения!$B$4</f>
        <v/>
      </c>
      <c r="D5" s="13">
        <f>B5*C5</f>
        <v/>
      </c>
      <c r="E5" s="13">
        <f>B5*Переменные!B11</f>
        <v/>
      </c>
      <c r="F5" s="13">
        <f>B5*Допущения!$B$6</f>
        <v/>
      </c>
      <c r="G5" s="13">
        <f>IF(A5&lt;=Допущения!$B$8,Постоянные!B25,Постоянные!C25)</f>
        <v/>
      </c>
      <c r="H5" s="13">
        <f>MAX(Допущения!$B$18,Допущения!$B$19*D5)-Допущения!$B$18</f>
        <v/>
      </c>
      <c r="I5" s="13">
        <f>F5-G5-H5</f>
        <v/>
      </c>
      <c r="J5" s="21">
        <f>IF(I5&gt;0,1,0)</f>
        <v/>
      </c>
      <c r="K5" s="13">
        <f>K4+I5</f>
        <v/>
      </c>
    </row>
    <row r="6">
      <c r="A6" t="n">
        <v>3</v>
      </c>
      <c r="B6" s="21">
        <f>Допущения!B24</f>
        <v/>
      </c>
      <c r="C6" s="13">
        <f>Допущения!$B$4</f>
        <v/>
      </c>
      <c r="D6" s="13">
        <f>B6*C6</f>
        <v/>
      </c>
      <c r="E6" s="13">
        <f>B6*Переменные!B11</f>
        <v/>
      </c>
      <c r="F6" s="13">
        <f>B6*Допущения!$B$6</f>
        <v/>
      </c>
      <c r="G6" s="13">
        <f>IF(A6&lt;=Допущения!$B$8,Постоянные!B25,Постоянные!C25)</f>
        <v/>
      </c>
      <c r="H6" s="13">
        <f>MAX(Допущения!$B$18,Допущения!$B$19*D6)-Допущения!$B$18</f>
        <v/>
      </c>
      <c r="I6" s="13">
        <f>F6-G6-H6</f>
        <v/>
      </c>
      <c r="J6" s="21">
        <f>IF(I6&gt;0,1,0)</f>
        <v/>
      </c>
      <c r="K6" s="13">
        <f>K5+I6</f>
        <v/>
      </c>
    </row>
    <row r="7">
      <c r="A7" t="n">
        <v>4</v>
      </c>
      <c r="B7" s="21">
        <f>Допущения!B25</f>
        <v/>
      </c>
      <c r="C7" s="13">
        <f>Допущения!$B$4</f>
        <v/>
      </c>
      <c r="D7" s="13">
        <f>B7*C7</f>
        <v/>
      </c>
      <c r="E7" s="13">
        <f>B7*Переменные!B11</f>
        <v/>
      </c>
      <c r="F7" s="13">
        <f>B7*Допущения!$B$6</f>
        <v/>
      </c>
      <c r="G7" s="13">
        <f>IF(A7&lt;=Допущения!$B$8,Постоянные!B25,Постоянные!C25)</f>
        <v/>
      </c>
      <c r="H7" s="13">
        <f>MAX(Допущения!$B$18,Допущения!$B$19*D7)-Допущения!$B$18</f>
        <v/>
      </c>
      <c r="I7" s="13">
        <f>F7-G7-H7</f>
        <v/>
      </c>
      <c r="J7" s="21">
        <f>IF(I7&gt;0,1,0)</f>
        <v/>
      </c>
      <c r="K7" s="13">
        <f>K6+I7</f>
        <v/>
      </c>
    </row>
    <row r="8">
      <c r="A8" t="n">
        <v>5</v>
      </c>
      <c r="B8" s="21">
        <f>Допущения!B26</f>
        <v/>
      </c>
      <c r="C8" s="13">
        <f>Допущения!$B$4</f>
        <v/>
      </c>
      <c r="D8" s="13">
        <f>B8*C8</f>
        <v/>
      </c>
      <c r="E8" s="13">
        <f>B8*Переменные!B11</f>
        <v/>
      </c>
      <c r="F8" s="13">
        <f>B8*Допущения!$B$6</f>
        <v/>
      </c>
      <c r="G8" s="13">
        <f>IF(A8&lt;=Допущения!$B$8,Постоянные!B25,Постоянные!C25)</f>
        <v/>
      </c>
      <c r="H8" s="13">
        <f>MAX(Допущения!$B$18,Допущения!$B$19*D8)-Допущения!$B$18</f>
        <v/>
      </c>
      <c r="I8" s="13">
        <f>F8-G8-H8</f>
        <v/>
      </c>
      <c r="J8" s="21">
        <f>IF(I8&gt;0,1,0)</f>
        <v/>
      </c>
      <c r="K8" s="13">
        <f>K7+I8</f>
        <v/>
      </c>
    </row>
    <row r="9">
      <c r="A9" t="n">
        <v>6</v>
      </c>
      <c r="B9" s="21">
        <f>Допущения!B27</f>
        <v/>
      </c>
      <c r="C9" s="13">
        <f>Допущения!$B$4</f>
        <v/>
      </c>
      <c r="D9" s="13">
        <f>B9*C9</f>
        <v/>
      </c>
      <c r="E9" s="13">
        <f>B9*Переменные!B11</f>
        <v/>
      </c>
      <c r="F9" s="13">
        <f>B9*Допущения!$B$6</f>
        <v/>
      </c>
      <c r="G9" s="13">
        <f>IF(A9&lt;=Допущения!$B$8,Постоянные!B25,Постоянные!C25)</f>
        <v/>
      </c>
      <c r="H9" s="13">
        <f>MAX(Допущения!$B$18,Допущения!$B$19*D9)-Допущения!$B$18</f>
        <v/>
      </c>
      <c r="I9" s="13">
        <f>F9-G9-H9</f>
        <v/>
      </c>
      <c r="J9" s="21">
        <f>IF(I9&gt;0,1,0)</f>
        <v/>
      </c>
      <c r="K9" s="13">
        <f>K8+I9</f>
        <v/>
      </c>
    </row>
    <row r="10">
      <c r="A10" t="n">
        <v>7</v>
      </c>
      <c r="B10" s="21">
        <f>Допущения!B28</f>
        <v/>
      </c>
      <c r="C10" s="13">
        <f>Допущения!$B$4</f>
        <v/>
      </c>
      <c r="D10" s="13">
        <f>B10*C10</f>
        <v/>
      </c>
      <c r="E10" s="13">
        <f>B10*Переменные!B11</f>
        <v/>
      </c>
      <c r="F10" s="13">
        <f>B10*Допущения!$B$6</f>
        <v/>
      </c>
      <c r="G10" s="13">
        <f>IF(A10&lt;=Допущения!$B$8,Постоянные!B25,Постоянные!C25)</f>
        <v/>
      </c>
      <c r="H10" s="13">
        <f>MAX(Допущения!$B$18,Допущения!$B$19*D10)-Допущения!$B$18</f>
        <v/>
      </c>
      <c r="I10" s="13">
        <f>F10-G10-H10</f>
        <v/>
      </c>
      <c r="J10" s="21">
        <f>IF(I10&gt;0,1,0)</f>
        <v/>
      </c>
      <c r="K10" s="13">
        <f>K9+I10</f>
        <v/>
      </c>
    </row>
    <row r="11">
      <c r="A11" t="n">
        <v>8</v>
      </c>
      <c r="B11" s="21">
        <f>Допущения!B29</f>
        <v/>
      </c>
      <c r="C11" s="13">
        <f>Допущения!$B$4</f>
        <v/>
      </c>
      <c r="D11" s="13">
        <f>B11*C11</f>
        <v/>
      </c>
      <c r="E11" s="13">
        <f>B11*Переменные!B11</f>
        <v/>
      </c>
      <c r="F11" s="13">
        <f>B11*Допущения!$B$6</f>
        <v/>
      </c>
      <c r="G11" s="13">
        <f>IF(A11&lt;=Допущения!$B$8,Постоянные!B25,Постоянные!C25)</f>
        <v/>
      </c>
      <c r="H11" s="13">
        <f>MAX(Допущения!$B$18,Допущения!$B$19*D11)-Допущения!$B$18</f>
        <v/>
      </c>
      <c r="I11" s="13">
        <f>F11-G11-H11</f>
        <v/>
      </c>
      <c r="J11" s="21">
        <f>IF(I11&gt;0,1,0)</f>
        <v/>
      </c>
      <c r="K11" s="13">
        <f>K10+I11</f>
        <v/>
      </c>
    </row>
    <row r="12">
      <c r="A12" t="n">
        <v>9</v>
      </c>
      <c r="B12" s="21">
        <f>Допущения!B30</f>
        <v/>
      </c>
      <c r="C12" s="13">
        <f>Допущения!$B$4</f>
        <v/>
      </c>
      <c r="D12" s="13">
        <f>B12*C12</f>
        <v/>
      </c>
      <c r="E12" s="13">
        <f>B12*Переменные!B11</f>
        <v/>
      </c>
      <c r="F12" s="13">
        <f>B12*Допущения!$B$6</f>
        <v/>
      </c>
      <c r="G12" s="13">
        <f>IF(A12&lt;=Допущения!$B$8,Постоянные!B25,Постоянные!C25)</f>
        <v/>
      </c>
      <c r="H12" s="13">
        <f>MAX(Допущения!$B$18,Допущения!$B$19*D12)-Допущения!$B$18</f>
        <v/>
      </c>
      <c r="I12" s="13">
        <f>F12-G12-H12</f>
        <v/>
      </c>
      <c r="J12" s="21">
        <f>IF(I12&gt;0,1,0)</f>
        <v/>
      </c>
      <c r="K12" s="13">
        <f>K11+I12</f>
        <v/>
      </c>
    </row>
    <row r="13">
      <c r="A13" t="n">
        <v>10</v>
      </c>
      <c r="B13" s="21">
        <f>Допущения!B31</f>
        <v/>
      </c>
      <c r="C13" s="13">
        <f>Допущения!$B$4</f>
        <v/>
      </c>
      <c r="D13" s="13">
        <f>B13*C13</f>
        <v/>
      </c>
      <c r="E13" s="13">
        <f>B13*Переменные!B11</f>
        <v/>
      </c>
      <c r="F13" s="13">
        <f>B13*Допущения!$B$6</f>
        <v/>
      </c>
      <c r="G13" s="13">
        <f>IF(A13&lt;=Допущения!$B$8,Постоянные!B25,Постоянные!C25)</f>
        <v/>
      </c>
      <c r="H13" s="13">
        <f>MAX(Допущения!$B$18,Допущения!$B$19*D13)-Допущения!$B$18</f>
        <v/>
      </c>
      <c r="I13" s="13">
        <f>F13-G13-H13</f>
        <v/>
      </c>
      <c r="J13" s="21">
        <f>IF(I13&gt;0,1,0)</f>
        <v/>
      </c>
      <c r="K13" s="13">
        <f>K12+I13</f>
        <v/>
      </c>
    </row>
    <row r="14">
      <c r="A14" t="n">
        <v>11</v>
      </c>
      <c r="B14" s="21">
        <f>Допущения!B32</f>
        <v/>
      </c>
      <c r="C14" s="13">
        <f>Допущения!$B$4</f>
        <v/>
      </c>
      <c r="D14" s="13">
        <f>B14*C14</f>
        <v/>
      </c>
      <c r="E14" s="13">
        <f>B14*Переменные!B11</f>
        <v/>
      </c>
      <c r="F14" s="13">
        <f>B14*Допущения!$B$6</f>
        <v/>
      </c>
      <c r="G14" s="13">
        <f>IF(A14&lt;=Допущения!$B$8,Постоянные!B25,Постоянные!C25)</f>
        <v/>
      </c>
      <c r="H14" s="13">
        <f>MAX(Допущения!$B$18,Допущения!$B$19*D14)-Допущения!$B$18</f>
        <v/>
      </c>
      <c r="I14" s="13">
        <f>F14-G14-H14</f>
        <v/>
      </c>
      <c r="J14" s="21">
        <f>IF(I14&gt;0,1,0)</f>
        <v/>
      </c>
      <c r="K14" s="13">
        <f>K13+I14</f>
        <v/>
      </c>
    </row>
    <row r="15">
      <c r="A15" t="n">
        <v>12</v>
      </c>
      <c r="B15" s="21">
        <f>Допущения!B33</f>
        <v/>
      </c>
      <c r="C15" s="13">
        <f>Допущения!$B$4</f>
        <v/>
      </c>
      <c r="D15" s="13">
        <f>B15*C15</f>
        <v/>
      </c>
      <c r="E15" s="13">
        <f>B15*Переменные!B11</f>
        <v/>
      </c>
      <c r="F15" s="13">
        <f>B15*Допущения!$B$6</f>
        <v/>
      </c>
      <c r="G15" s="13">
        <f>IF(A15&lt;=Допущения!$B$8,Постоянные!B25,Постоянные!C25)</f>
        <v/>
      </c>
      <c r="H15" s="13">
        <f>MAX(Допущения!$B$18,Допущения!$B$19*D15)-Допущения!$B$18</f>
        <v/>
      </c>
      <c r="I15" s="13">
        <f>F15-G15-H15</f>
        <v/>
      </c>
      <c r="J15" s="21">
        <f>IF(I15&gt;0,1,0)</f>
        <v/>
      </c>
      <c r="K15" s="13">
        <f>K14+I15</f>
        <v/>
      </c>
    </row>
    <row r="16">
      <c r="A16" s="10" t="inlineStr">
        <is>
          <t>ИТОГО</t>
        </is>
      </c>
      <c r="B16" s="3">
        <f>SUM(B4:B15)</f>
        <v/>
      </c>
      <c r="D16" s="3">
        <f>SUM(D4:D15)</f>
        <v/>
      </c>
      <c r="E16" s="3">
        <f>SUM(E4:E15)</f>
        <v/>
      </c>
      <c r="F16" s="3">
        <f>SUM(F4:F15)</f>
        <v/>
      </c>
      <c r="G16" s="3">
        <f>SUM(G4:G15)</f>
        <v/>
      </c>
      <c r="H16" s="3">
        <f>SUM(H4:H15)</f>
        <v/>
      </c>
      <c r="I16" s="3">
        <f>SUM(I4:I15)</f>
        <v/>
      </c>
    </row>
    <row r="18">
      <c r="A18" s="10" t="inlineStr">
        <is>
          <t>Месяц выхода в плюс (EBITDA&gt;0)</t>
        </is>
      </c>
      <c r="B18" s="10">
        <f>IFERROR(MATCH(1,J4:J15,0),"&gt;12")</f>
        <v/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25"/>
  <sheetViews>
    <sheetView workbookViewId="0">
      <selection activeCell="A1" sqref="A1"/>
    </sheetView>
  </sheetViews>
  <sheetFormatPr baseColWidth="8" defaultRowHeight="15"/>
  <cols>
    <col width="42" customWidth="1" min="1" max="1"/>
    <col width="15" customWidth="1" min="2" max="2"/>
    <col width="15" customWidth="1" min="3" max="3"/>
    <col width="15" customWidth="1" min="4" max="4"/>
  </cols>
  <sheetData>
    <row r="1">
      <c r="A1" s="1" t="inlineStr">
        <is>
          <t>СВОДКА ПО 3 ГОДАМ · РЕКЛАМА · АМОРТИЗАЦИЯ · НАЛОГИ · ВОЗВРАТ</t>
        </is>
      </c>
    </row>
    <row r="3">
      <c r="A3" s="7" t="inlineStr">
        <is>
          <t>Показатель</t>
        </is>
      </c>
      <c r="B3" s="7" t="inlineStr">
        <is>
          <t>Год 1</t>
        </is>
      </c>
      <c r="C3" s="7" t="inlineStr">
        <is>
          <t>Год 2</t>
        </is>
      </c>
      <c r="D3" s="7" t="inlineStr">
        <is>
          <t>Год 3</t>
        </is>
      </c>
    </row>
    <row r="4">
      <c r="A4" t="inlineStr">
        <is>
          <t>Продажи, кухонь</t>
        </is>
      </c>
      <c r="B4" s="13">
        <f>'Помесячно Y1'!B16</f>
        <v/>
      </c>
      <c r="C4" s="13">
        <f>Допущения!B10</f>
        <v/>
      </c>
      <c r="D4" s="13">
        <f>Допущения!B11</f>
        <v/>
      </c>
    </row>
    <row r="5">
      <c r="A5" t="inlineStr">
        <is>
          <t>Выручка, $</t>
        </is>
      </c>
      <c r="B5" s="13">
        <f>'Помесячно Y1'!D16</f>
        <v/>
      </c>
      <c r="C5" s="13">
        <f>C4*Допущения!$B$4</f>
        <v/>
      </c>
      <c r="D5" s="13">
        <f>D4*Допущения!$B$4</f>
        <v/>
      </c>
    </row>
    <row r="6">
      <c r="A6" t="inlineStr">
        <is>
          <t>Переменные, $</t>
        </is>
      </c>
      <c r="B6" s="13">
        <f>'Помесячно Y1'!B16*Переменные!B11</f>
        <v/>
      </c>
      <c r="C6" s="13">
        <f>C4*Переменные!B11</f>
        <v/>
      </c>
      <c r="D6" s="13">
        <f>D4*Переменные!B11</f>
        <v/>
      </c>
    </row>
    <row r="7">
      <c r="A7" t="inlineStr">
        <is>
          <t>Маржин. доход, $</t>
        </is>
      </c>
      <c r="B7" s="13">
        <f>B5-B6</f>
        <v/>
      </c>
      <c r="C7" s="13">
        <f>C5-C6</f>
        <v/>
      </c>
      <c r="D7" s="13">
        <f>D5-D6</f>
        <v/>
      </c>
    </row>
    <row r="8">
      <c r="A8" t="inlineStr">
        <is>
          <t>Пост. расходы (без рекл.), $</t>
        </is>
      </c>
      <c r="B8" s="13">
        <f>'Помесячно Y1'!G16-Допущения!$B$18*(12-Допущения!B8)-Допущения!$B$18*Допущения!B8</f>
        <v/>
      </c>
      <c r="C8" s="13">
        <f>Допущения!B12</f>
        <v/>
      </c>
      <c r="D8" s="13">
        <f>Допущения!B13</f>
        <v/>
      </c>
    </row>
    <row r="9">
      <c r="A9" t="inlineStr">
        <is>
          <t>Реклама всего, $</t>
        </is>
      </c>
      <c r="B9" s="13">
        <f>'Помесячно Y1'!H16+Допущения!$B$18*12</f>
        <v/>
      </c>
      <c r="C9" s="13">
        <f>MAX(Допущения!$B$18*12,Допущения!$B$19*C5)</f>
        <v/>
      </c>
      <c r="D9" s="13">
        <f>MAX(Допущения!$B$18*12,Допущения!$B$19*D5)</f>
        <v/>
      </c>
    </row>
    <row r="10">
      <c r="A10" s="10" t="inlineStr">
        <is>
          <t>EBITDA, $</t>
        </is>
      </c>
      <c r="B10" s="3">
        <f>B7-B8-B9</f>
        <v/>
      </c>
      <c r="C10" s="3">
        <f>C7-C8-C9</f>
        <v/>
      </c>
      <c r="D10" s="3">
        <f>D7-D8-D9</f>
        <v/>
      </c>
    </row>
    <row r="11">
      <c r="A11" t="inlineStr">
        <is>
          <t>Маржа EBITDA, %</t>
        </is>
      </c>
      <c r="B11" s="22">
        <f>B10/B5</f>
        <v/>
      </c>
      <c r="C11" s="22">
        <f>C10/C5</f>
        <v/>
      </c>
      <c r="D11" s="22">
        <f>D10/D5</f>
        <v/>
      </c>
    </row>
    <row r="12">
      <c r="A12" t="inlineStr">
        <is>
          <t>Амортизация, $</t>
        </is>
      </c>
      <c r="B12" s="13">
        <f>Допущения!$B$16</f>
        <v/>
      </c>
      <c r="C12" s="13">
        <f>Допущения!$B$16</f>
        <v/>
      </c>
      <c r="D12" s="13">
        <f>Допущения!$B$16</f>
        <v/>
      </c>
    </row>
    <row r="13">
      <c r="A13" t="inlineStr">
        <is>
          <t>EBIT, $</t>
        </is>
      </c>
      <c r="B13" s="13">
        <f>B10-B12</f>
        <v/>
      </c>
      <c r="C13" s="13">
        <f>C10-C12</f>
        <v/>
      </c>
      <c r="D13" s="13">
        <f>D10-D12</f>
        <v/>
      </c>
    </row>
    <row r="14">
      <c r="A14" t="inlineStr">
        <is>
          <t>Налог (с переносом убытка), $</t>
        </is>
      </c>
      <c r="B14" s="13">
        <f>IF(B13&gt;0,B13*Допущения!$B$17,0)</f>
        <v/>
      </c>
      <c r="C14" s="13">
        <f>MAX(0,C13-MAX(0,-B13))*Допущения!$B$17</f>
        <v/>
      </c>
      <c r="D14" s="13">
        <f>MAX(0,D13-MAX(0,MAX(0,-B13)-MAX(0,C13)))*Допущения!$B$17</f>
        <v/>
      </c>
    </row>
    <row r="15">
      <c r="A15" s="10" t="inlineStr">
        <is>
          <t>Чистая прибыль, $</t>
        </is>
      </c>
      <c r="B15" s="3">
        <f>B13-B14</f>
        <v/>
      </c>
      <c r="C15" s="3">
        <f>C13-C14</f>
        <v/>
      </c>
      <c r="D15" s="3">
        <f>D13-D14</f>
        <v/>
      </c>
    </row>
    <row r="16">
      <c r="A16" t="inlineStr">
        <is>
          <t>Ден. поток после налога (ЧП+аморт.), $</t>
        </is>
      </c>
      <c r="B16" s="13">
        <f>B15+B12</f>
        <v/>
      </c>
      <c r="C16" s="13">
        <f>C15+C12</f>
        <v/>
      </c>
      <c r="D16" s="13">
        <f>D15+D12</f>
        <v/>
      </c>
    </row>
    <row r="17">
      <c r="A17" s="10" t="inlineStr">
        <is>
          <t>Накопл. ДП после налога (с раундом), $</t>
        </is>
      </c>
      <c r="B17" s="3">
        <f>-Допущения!$B$9+B16</f>
        <v/>
      </c>
      <c r="C17" s="3">
        <f>B17+C16</f>
        <v/>
      </c>
      <c r="D17" s="3">
        <f>C17+D16</f>
        <v/>
      </c>
    </row>
    <row r="18">
      <c r="A18" s="10" t="inlineStr">
        <is>
          <t>Накопл. EBITDA (с раундом), $</t>
        </is>
      </c>
      <c r="B18" s="3">
        <f>-Допущения!$B$9+B10</f>
        <v/>
      </c>
      <c r="C18" s="3">
        <f>B18+C10</f>
        <v/>
      </c>
      <c r="D18" s="3">
        <f>C18+D10</f>
        <v/>
      </c>
    </row>
    <row r="20">
      <c r="A20" s="10" t="inlineStr">
        <is>
          <t>Окупаемость по EBITDA, мес</t>
        </is>
      </c>
      <c r="B20" s="25">
        <f>IF(C18&gt;=0,12+(-B18)/(C10/12),IF(D18&gt;=0,24+(-C18)/(D10/12),IF((D18+D10)&gt;=0,36+(-D18)/(D10/12),"&gt;48")))</f>
        <v/>
      </c>
    </row>
    <row r="21">
      <c r="A21" s="10" t="inlineStr">
        <is>
          <t>Окупаемость по EBITDA, лет</t>
        </is>
      </c>
      <c r="B21" s="6">
        <f>IF(ISNUMBER(B20),B20/12,"&gt;4")</f>
        <v/>
      </c>
    </row>
    <row r="22">
      <c r="A22" s="10" t="inlineStr">
        <is>
          <t>Окупаемость после налога, мес</t>
        </is>
      </c>
      <c r="B22" s="25">
        <f>IF(C17&gt;=0,12+(-B17)/(C16/12),IF(D17&gt;=0,24+(-C17)/(D16/12),IF((D17+D16)&gt;=0,36+(-D17)/(D16/12),"&gt;48")))</f>
        <v/>
      </c>
    </row>
    <row r="23">
      <c r="A23" s="10" t="inlineStr">
        <is>
          <t>Окупаемость после налога, лет</t>
        </is>
      </c>
      <c r="B23" s="6">
        <f>IF(ISNUMBER(B22),B22/12,"&gt;4")</f>
        <v/>
      </c>
    </row>
    <row r="24">
      <c r="A24" s="10" t="inlineStr">
        <is>
          <t>ROI на зрелости (EBITDA Y3/раунд), %</t>
        </is>
      </c>
      <c r="B24" s="4">
        <f>D10/Допущения!$B$9</f>
        <v/>
      </c>
    </row>
    <row r="25">
      <c r="A25" s="10" t="inlineStr">
        <is>
          <t>ROI после налога (ЧП Y3/раунд), %</t>
        </is>
      </c>
      <c r="B25" s="4">
        <f>D15/Допущения!$B$9</f>
        <v/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D40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СЦЕНАРИИ — все варианты рядом (жёлтое редактируемо; общая юнит-экономика и раунд)</t>
        </is>
      </c>
    </row>
    <row r="3">
      <c r="A3" s="7" t="inlineStr">
        <is>
          <t>Показатель</t>
        </is>
      </c>
      <c r="B3" s="7" t="inlineStr">
        <is>
          <t>Консерв. 1 смена</t>
        </is>
      </c>
      <c r="C3" s="7" t="inlineStr">
        <is>
          <t>Агрессив. 1 смена</t>
        </is>
      </c>
      <c r="D3" s="7" t="inlineStr">
        <is>
          <t>Агрессив. + 2 смены с Y2</t>
        </is>
      </c>
    </row>
    <row r="4">
      <c r="A4" t="inlineStr">
        <is>
          <t>Год 1 — кухонь</t>
        </is>
      </c>
      <c r="B4" s="19" t="n">
        <v>180</v>
      </c>
      <c r="C4" s="19" t="n">
        <v>300</v>
      </c>
      <c r="D4" s="19" t="n">
        <v>300</v>
      </c>
    </row>
    <row r="5">
      <c r="A5" t="inlineStr">
        <is>
          <t>Год 2 — кухонь</t>
        </is>
      </c>
      <c r="B5" s="19" t="n">
        <v>450</v>
      </c>
      <c r="C5" s="19" t="n">
        <v>700</v>
      </c>
      <c r="D5" s="19" t="n">
        <v>1000</v>
      </c>
    </row>
    <row r="6">
      <c r="A6" t="inlineStr">
        <is>
          <t>Год 3 — кухонь</t>
        </is>
      </c>
      <c r="B6" s="19" t="n">
        <v>700</v>
      </c>
      <c r="C6" s="19" t="n">
        <v>1200</v>
      </c>
      <c r="D6" s="19" t="n">
        <v>1700</v>
      </c>
    </row>
    <row r="7">
      <c r="A7" t="inlineStr">
        <is>
          <t>Реклама — % выручки</t>
        </is>
      </c>
      <c r="B7" s="8" t="n">
        <v>0.06</v>
      </c>
      <c r="C7" s="8" t="n">
        <v>0.09</v>
      </c>
      <c r="D7" s="8" t="n">
        <v>0.09</v>
      </c>
    </row>
    <row r="8">
      <c r="A8" t="inlineStr">
        <is>
          <t>Реклама — минимум, $/год</t>
        </is>
      </c>
      <c r="B8" s="9" t="n">
        <v>120000</v>
      </c>
      <c r="C8" s="9" t="n">
        <v>240000</v>
      </c>
      <c r="D8" s="9" t="n">
        <v>240000</v>
      </c>
    </row>
    <row r="9">
      <c r="A9" t="inlineStr">
        <is>
          <t>Год 1 — пост. (без рекл.), $</t>
        </is>
      </c>
      <c r="B9" s="9" t="n">
        <v>1200000</v>
      </c>
      <c r="C9" s="9" t="n">
        <v>1200000</v>
      </c>
      <c r="D9" s="9" t="n">
        <v>1200000</v>
      </c>
    </row>
    <row r="10">
      <c r="A10" t="inlineStr">
        <is>
          <t>Год 2 — пост. (без рекл.), $</t>
        </is>
      </c>
      <c r="B10" s="9" t="n">
        <v>1400000</v>
      </c>
      <c r="C10" s="9" t="n">
        <v>1450000</v>
      </c>
      <c r="D10" s="9" t="n">
        <v>1950000</v>
      </c>
    </row>
    <row r="11">
      <c r="A11" t="inlineStr">
        <is>
          <t>Год 3 — пост. (без рекл.), $</t>
        </is>
      </c>
      <c r="B11" s="9" t="n">
        <v>1550000</v>
      </c>
      <c r="C11" s="9" t="n">
        <v>1600000</v>
      </c>
      <c r="D11" s="9" t="n">
        <v>2450000</v>
      </c>
    </row>
    <row r="13">
      <c r="A13" t="inlineStr">
        <is>
          <t>Выручка Y1, $</t>
        </is>
      </c>
      <c r="B13" s="13">
        <f>B4*Допущения!$B$4</f>
        <v/>
      </c>
      <c r="C13" s="13">
        <f>C4*Допущения!$B$4</f>
        <v/>
      </c>
      <c r="D13" s="13">
        <f>D4*Допущения!$B$4</f>
        <v/>
      </c>
    </row>
    <row r="14">
      <c r="A14" t="inlineStr">
        <is>
          <t>Выручка Y2, $</t>
        </is>
      </c>
      <c r="B14" s="13">
        <f>B5*Допущения!$B$4</f>
        <v/>
      </c>
      <c r="C14" s="13">
        <f>C5*Допущения!$B$4</f>
        <v/>
      </c>
      <c r="D14" s="13">
        <f>D5*Допущения!$B$4</f>
        <v/>
      </c>
    </row>
    <row r="15">
      <c r="A15" t="inlineStr">
        <is>
          <t>Выручка Y3, $</t>
        </is>
      </c>
      <c r="B15" s="13">
        <f>B6*Допущения!$B$4</f>
        <v/>
      </c>
      <c r="C15" s="13">
        <f>C6*Допущения!$B$4</f>
        <v/>
      </c>
      <c r="D15" s="13">
        <f>D6*Допущения!$B$4</f>
        <v/>
      </c>
    </row>
    <row r="16">
      <c r="A16" t="inlineStr">
        <is>
          <t>EBITDA Y1, $</t>
        </is>
      </c>
      <c r="B16" s="13">
        <f>B4*Допущения!$B$6-B9-MAX(B8,B7*B13)</f>
        <v/>
      </c>
      <c r="C16" s="13">
        <f>C4*Допущения!$B$6-C9-MAX(C8,C7*C13)</f>
        <v/>
      </c>
      <c r="D16" s="13">
        <f>D4*Допущения!$B$6-D9-MAX(D8,D7*D13)</f>
        <v/>
      </c>
    </row>
    <row r="17">
      <c r="A17" t="inlineStr">
        <is>
          <t>EBITDA Y2, $</t>
        </is>
      </c>
      <c r="B17" s="13">
        <f>B5*Допущения!$B$6-B10-MAX(B8,B7*B14)</f>
        <v/>
      </c>
      <c r="C17" s="13">
        <f>C5*Допущения!$B$6-C10-MAX(C8,C7*C14)</f>
        <v/>
      </c>
      <c r="D17" s="13">
        <f>D5*Допущения!$B$6-D10-MAX(D8,D7*D14)</f>
        <v/>
      </c>
    </row>
    <row r="18">
      <c r="A18" s="10" t="inlineStr">
        <is>
          <t>EBITDA Y3, $</t>
        </is>
      </c>
      <c r="B18" s="3">
        <f>B6*Допущения!$B$6-B11-MAX(B8,B7*B15)</f>
        <v/>
      </c>
      <c r="C18" s="3">
        <f>C6*Допущения!$B$6-C11-MAX(C8,C7*C15)</f>
        <v/>
      </c>
      <c r="D18" s="3">
        <f>D6*Допущения!$B$6-D11-MAX(D8,D7*D15)</f>
        <v/>
      </c>
    </row>
    <row r="19">
      <c r="A19" t="inlineStr">
        <is>
          <t>Маржа EBITDA Y3, %</t>
        </is>
      </c>
      <c r="B19" s="22">
        <f>B18/B15</f>
        <v/>
      </c>
      <c r="C19" s="22">
        <f>C18/C15</f>
        <v/>
      </c>
      <c r="D19" s="22">
        <f>D18/D15</f>
        <v/>
      </c>
    </row>
    <row r="20">
      <c r="A20" t="inlineStr">
        <is>
          <t>EBIT Y1, $</t>
        </is>
      </c>
      <c r="B20" s="13">
        <f>B16-Допущения!$B$16</f>
        <v/>
      </c>
      <c r="C20" s="13">
        <f>C16-Допущения!$B$16</f>
        <v/>
      </c>
      <c r="D20" s="13">
        <f>D16-Допущения!$B$16</f>
        <v/>
      </c>
    </row>
    <row r="21">
      <c r="A21" t="inlineStr">
        <is>
          <t>EBIT Y2, $</t>
        </is>
      </c>
      <c r="B21" s="13">
        <f>B17-Допущения!$B$16</f>
        <v/>
      </c>
      <c r="C21" s="13">
        <f>C17-Допущения!$B$16</f>
        <v/>
      </c>
      <c r="D21" s="13">
        <f>D17-Допущения!$B$16</f>
        <v/>
      </c>
    </row>
    <row r="22">
      <c r="A22" t="inlineStr">
        <is>
          <t>EBIT Y3, $</t>
        </is>
      </c>
      <c r="B22" s="13">
        <f>B18-Допущения!$B$16</f>
        <v/>
      </c>
      <c r="C22" s="13">
        <f>C18-Допущения!$B$16</f>
        <v/>
      </c>
      <c r="D22" s="13">
        <f>D18-Допущения!$B$16</f>
        <v/>
      </c>
    </row>
    <row r="23">
      <c r="A23" t="inlineStr">
        <is>
          <t>Налог Y1, $</t>
        </is>
      </c>
      <c r="B23" s="13">
        <f>IF(B20&gt;0,B20*Допущения!$B$17,0)</f>
        <v/>
      </c>
      <c r="C23" s="13">
        <f>IF(C20&gt;0,C20*Допущения!$B$17,0)</f>
        <v/>
      </c>
      <c r="D23" s="13">
        <f>IF(D20&gt;0,D20*Допущения!$B$17,0)</f>
        <v/>
      </c>
    </row>
    <row r="24">
      <c r="A24" t="inlineStr">
        <is>
          <t>Налог Y2, $</t>
        </is>
      </c>
      <c r="B24" s="13">
        <f>MAX(0,B21-MAX(0,-B20))*Допущения!$B$17</f>
        <v/>
      </c>
      <c r="C24" s="13">
        <f>MAX(0,C21-MAX(0,-C20))*Допущения!$B$17</f>
        <v/>
      </c>
      <c r="D24" s="13">
        <f>MAX(0,D21-MAX(0,-D20))*Допущения!$B$17</f>
        <v/>
      </c>
    </row>
    <row r="25">
      <c r="A25" t="inlineStr">
        <is>
          <t>Налог Y3, $</t>
        </is>
      </c>
      <c r="B25" s="13">
        <f>MAX(0,B22-MAX(0,MAX(0,-B20)-MAX(0,B21)))*Допущения!$B$17</f>
        <v/>
      </c>
      <c r="C25" s="13">
        <f>MAX(0,C22-MAX(0,MAX(0,-C20)-MAX(0,C21)))*Допущения!$B$17</f>
        <v/>
      </c>
      <c r="D25" s="13">
        <f>MAX(0,D22-MAX(0,MAX(0,-D20)-MAX(0,D21)))*Допущения!$B$17</f>
        <v/>
      </c>
    </row>
    <row r="26">
      <c r="A26" s="10" t="inlineStr">
        <is>
          <t>Чистая прибыль Y3, $</t>
        </is>
      </c>
      <c r="B26" s="3">
        <f>B22-B25</f>
        <v/>
      </c>
      <c r="C26" s="3">
        <f>C22-C25</f>
        <v/>
      </c>
      <c r="D26" s="3">
        <f>D22-D25</f>
        <v/>
      </c>
    </row>
    <row r="27">
      <c r="A27" t="inlineStr">
        <is>
          <t>ДП п/налога Y1, $</t>
        </is>
      </c>
      <c r="B27" s="13">
        <f>B20-B23+Допущения!$B$16</f>
        <v/>
      </c>
      <c r="C27" s="13">
        <f>C20-C23+Допущения!$B$16</f>
        <v/>
      </c>
      <c r="D27" s="13">
        <f>D20-D23+Допущения!$B$16</f>
        <v/>
      </c>
    </row>
    <row r="28">
      <c r="A28" t="inlineStr">
        <is>
          <t>ДП п/налога Y2, $</t>
        </is>
      </c>
      <c r="B28" s="13">
        <f>B21-B24+Допущения!$B$16</f>
        <v/>
      </c>
      <c r="C28" s="13">
        <f>C21-C24+Допущения!$B$16</f>
        <v/>
      </c>
      <c r="D28" s="13">
        <f>D21-D24+Допущения!$B$16</f>
        <v/>
      </c>
    </row>
    <row r="29">
      <c r="A29" t="inlineStr">
        <is>
          <t>ДП п/налога Y3, $</t>
        </is>
      </c>
      <c r="B29" s="13">
        <f>B22-B25+Допущения!$B$16</f>
        <v/>
      </c>
      <c r="C29" s="13">
        <f>C22-C25+Допущения!$B$16</f>
        <v/>
      </c>
      <c r="D29" s="13">
        <f>D22-D25+Допущения!$B$16</f>
        <v/>
      </c>
    </row>
    <row r="31">
      <c r="A31" t="inlineStr">
        <is>
          <t>Накопл. EBITDA Y1 (с раундом)</t>
        </is>
      </c>
      <c r="B31" s="13">
        <f>-Допущения!$B$9+B16</f>
        <v/>
      </c>
      <c r="C31" s="13">
        <f>-Допущения!$B$9+C16</f>
        <v/>
      </c>
      <c r="D31" s="13">
        <f>-Допущения!$B$9+D16</f>
        <v/>
      </c>
    </row>
    <row r="32">
      <c r="A32" t="inlineStr">
        <is>
          <t>Накопл. EBITDA Y2</t>
        </is>
      </c>
      <c r="B32" s="13">
        <f>B31+B17</f>
        <v/>
      </c>
      <c r="C32" s="13">
        <f>C31+C17</f>
        <v/>
      </c>
      <c r="D32" s="13">
        <f>D31+D17</f>
        <v/>
      </c>
    </row>
    <row r="33">
      <c r="A33" t="inlineStr">
        <is>
          <t>Накопл. EBITDA Y3</t>
        </is>
      </c>
      <c r="B33" s="13">
        <f>B32+B18</f>
        <v/>
      </c>
      <c r="C33" s="13">
        <f>C32+C18</f>
        <v/>
      </c>
      <c r="D33" s="13">
        <f>D32+D18</f>
        <v/>
      </c>
    </row>
    <row r="34">
      <c r="A34" s="10" t="inlineStr">
        <is>
          <t>Окупаемость EBITDA, лет</t>
        </is>
      </c>
      <c r="B34" s="25">
        <f>IF(B32&gt;=0,(12-B31/(B17/12))/12,IF(B33&gt;=0,(24-B32/(B18/12))/12,IF((B33+B18)&gt;=0,(36-B33/(B18/12))/12,"&gt;4")))</f>
        <v/>
      </c>
      <c r="C34" s="25">
        <f>IF(C32&gt;=0,(12-C31/(C17/12))/12,IF(C33&gt;=0,(24-C32/(C18/12))/12,IF((C33+C18)&gt;=0,(36-C33/(C18/12))/12,"&gt;4")))</f>
        <v/>
      </c>
      <c r="D34" s="25">
        <f>IF(D32&gt;=0,(12-D31/(D17/12))/12,IF(D33&gt;=0,(24-D32/(D18/12))/12,IF((D33+D18)&gt;=0,(36-D33/(D18/12))/12,"&gt;4")))</f>
        <v/>
      </c>
    </row>
    <row r="35">
      <c r="A35" t="inlineStr">
        <is>
          <t>Накопл. ДП п/н Y1 (с раундом)</t>
        </is>
      </c>
      <c r="B35" s="13">
        <f>-Допущения!$B$9+B27</f>
        <v/>
      </c>
      <c r="C35" s="13">
        <f>-Допущения!$B$9+C27</f>
        <v/>
      </c>
      <c r="D35" s="13">
        <f>-Допущения!$B$9+D27</f>
        <v/>
      </c>
    </row>
    <row r="36">
      <c r="A36" t="inlineStr">
        <is>
          <t>Накопл. ДП п/н Y2</t>
        </is>
      </c>
      <c r="B36" s="13">
        <f>B35+B28</f>
        <v/>
      </c>
      <c r="C36" s="13">
        <f>C35+C28</f>
        <v/>
      </c>
      <c r="D36" s="13">
        <f>D35+D28</f>
        <v/>
      </c>
    </row>
    <row r="37">
      <c r="A37" t="inlineStr">
        <is>
          <t>Накопл. ДП п/н Y3</t>
        </is>
      </c>
      <c r="B37" s="13">
        <f>B36+B29</f>
        <v/>
      </c>
      <c r="C37" s="13">
        <f>C36+C29</f>
        <v/>
      </c>
      <c r="D37" s="13">
        <f>D36+D29</f>
        <v/>
      </c>
    </row>
    <row r="38">
      <c r="A38" s="10" t="inlineStr">
        <is>
          <t>Окупаемость п/налога, лет</t>
        </is>
      </c>
      <c r="B38" s="25">
        <f>IF(B36&gt;=0,(12-B35/(B28/12))/12,IF(B37&gt;=0,(24-B36/(B29/12))/12,IF((B37+B29)&gt;=0,(36-B37/(B29/12))/12,"&gt;4")))</f>
        <v/>
      </c>
      <c r="C38" s="25">
        <f>IF(C36&gt;=0,(12-C35/(C28/12))/12,IF(C37&gt;=0,(24-C36/(C29/12))/12,IF((C37+C29)&gt;=0,(36-C37/(C29/12))/12,"&gt;4")))</f>
        <v/>
      </c>
      <c r="D38" s="25">
        <f>IF(D36&gt;=0,(12-D35/(D28/12))/12,IF(D37&gt;=0,(24-D36/(D29/12))/12,IF((D37+D29)&gt;=0,(36-D37/(D29/12))/12,"&gt;4")))</f>
        <v/>
      </c>
    </row>
    <row r="39">
      <c r="A39" s="10" t="inlineStr">
        <is>
          <t>ROI EBITDA Y3 / раунд</t>
        </is>
      </c>
      <c r="B39" s="4">
        <f>B18/Допущения!$B$9</f>
        <v/>
      </c>
      <c r="C39" s="4">
        <f>C18/Допущения!$B$9</f>
        <v/>
      </c>
      <c r="D39" s="4">
        <f>D18/Допущения!$B$9</f>
        <v/>
      </c>
    </row>
    <row r="40">
      <c r="A40" s="10" t="inlineStr">
        <is>
          <t>ROI п/налога Y3 / раунд</t>
        </is>
      </c>
      <c r="B40" s="4">
        <f>B26/Допущения!$B$9</f>
        <v/>
      </c>
      <c r="C40" s="4">
        <f>C26/Допущения!$B$9</f>
        <v/>
      </c>
      <c r="D40" s="4">
        <f>D26/Допущения!$B$9</f>
        <v/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C35"/>
  <sheetViews>
    <sheetView workbookViewId="0">
      <selection activeCell="A1" sqref="A1"/>
    </sheetView>
  </sheetViews>
  <sheetFormatPr baseColWidth="8" defaultRowHeight="15"/>
  <cols>
    <col width="50" customWidth="1" min="1" max="1"/>
    <col width="18" customWidth="1" min="2" max="2"/>
    <col width="40" customWidth="1" min="3" max="3"/>
  </cols>
  <sheetData>
    <row r="1">
      <c r="A1" s="40" t="inlineStr">
        <is>
          <t>ПРОФЕССИОНАЛЬНАЯ АНАЛИТИКА — мебельное производство (сценарий: Агрессивный 1 смена / база)</t>
        </is>
      </c>
    </row>
    <row r="2">
      <c r="A2" t="inlineStr">
        <is>
          <t>Все цифры тянутся из модели. Бенчмарки — типовые для I4.0 корпусного производства.</t>
        </is>
      </c>
    </row>
    <row r="4">
      <c r="A4" s="41" t="inlineStr">
        <is>
          <t>ЮНИТ-ЭКОНОМИКА</t>
        </is>
      </c>
      <c r="B4" s="41" t="n"/>
      <c r="C4" s="41" t="n"/>
    </row>
    <row r="5">
      <c r="A5" t="inlineStr">
        <is>
          <t>Средний чек (опт), $/кухня</t>
        </is>
      </c>
      <c r="B5" s="13">
        <f>'Микс и цена'!C8</f>
        <v/>
      </c>
      <c r="C5" t="inlineStr">
        <is>
          <t>взвеш. по миксу тиров</t>
        </is>
      </c>
    </row>
    <row r="6">
      <c r="A6" t="inlineStr">
        <is>
          <t>Переменные, $/кухня</t>
        </is>
      </c>
      <c r="B6" s="13">
        <f>Переменные!B11</f>
        <v/>
      </c>
      <c r="C6" t="inlineStr">
        <is>
          <t>материалы+фрахт+эквайринг+гарантия</t>
        </is>
      </c>
    </row>
    <row r="7">
      <c r="A7" t="inlineStr">
        <is>
          <t>Контрибуция, $/кухня</t>
        </is>
      </c>
      <c r="B7" s="13">
        <f>Переменные!B13</f>
        <v/>
      </c>
      <c r="C7" t="inlineStr">
        <is>
          <t>вклад в покрытие постоянных</t>
        </is>
      </c>
    </row>
    <row r="8">
      <c r="A8" t="inlineStr">
        <is>
          <t>Контрибуция, %</t>
        </is>
      </c>
      <c r="B8" s="22">
        <f>Переменные!B14</f>
        <v/>
      </c>
      <c r="C8" t="inlineStr">
        <is>
          <t>цель I4.0 ~50%</t>
        </is>
      </c>
    </row>
    <row r="9">
      <c r="A9" t="inlineStr">
        <is>
          <t>Гарантийный резерв, % выручки</t>
        </is>
      </c>
      <c r="B9" s="22">
        <f>0.015</f>
        <v/>
      </c>
      <c r="C9" t="inlineStr">
        <is>
          <t>переделки/брак/возвраты</t>
        </is>
      </c>
    </row>
    <row r="10">
      <c r="A10" t="inlineStr">
        <is>
          <t>Точка безубыточности, кухонь/мес</t>
        </is>
      </c>
      <c r="B10" s="20">
        <f>Постоянные!C25/Переменные!B13</f>
        <v/>
      </c>
      <c r="C10" t="inlineStr">
        <is>
          <t>полный режим, с минимум-рекламой</t>
        </is>
      </c>
    </row>
    <row r="12">
      <c r="A12" s="41" t="inlineStr">
        <is>
          <t>ОПЕРАЦИОННЫЕ KPI (Industry 4.0)</t>
        </is>
      </c>
      <c r="B12" s="41" t="n"/>
      <c r="C12" s="41" t="n"/>
    </row>
    <row r="13">
      <c r="A13" t="inlineStr">
        <is>
          <t>Мощность 1 смена, кухонь/год</t>
        </is>
      </c>
      <c r="B13" s="13">
        <f>Мощность!B6</f>
        <v/>
      </c>
      <c r="C13" t="inlineStr">
        <is>
          <t>10/день × 21 × 12</t>
        </is>
      </c>
    </row>
    <row r="14">
      <c r="A14" t="inlineStr">
        <is>
          <t>Загрузка Y3 (план ÷ 1 смена), %</t>
        </is>
      </c>
      <c r="B14" s="22">
        <f>Допущения!B11/Мощность!B6</f>
        <v/>
      </c>
      <c r="C14" t="inlineStr">
        <is>
          <t>запас мощности = спрос, не завод</t>
        </is>
      </c>
    </row>
    <row r="15">
      <c r="A15" t="inlineStr">
        <is>
          <t>Takt time, мин/кухня (1 смена)</t>
        </is>
      </c>
      <c r="B15" s="20">
        <f>8*60/Мощность!B3</f>
        <v/>
      </c>
      <c r="C15" t="inlineStr">
        <is>
          <t>8ч ÷ кухонь/день</t>
        </is>
      </c>
    </row>
    <row r="16">
      <c r="A16" t="inlineStr">
        <is>
          <t>Коробов/кухню (справочно)</t>
        </is>
      </c>
      <c r="B16" s="21">
        <f>Мощность!B9</f>
        <v/>
      </c>
      <c r="C16" t="inlineStr">
        <is>
          <t>flat-pack</t>
        </is>
      </c>
    </row>
    <row r="17">
      <c r="A17" t="inlineStr">
        <is>
          <t>Выход материала (прижимная пила), %</t>
        </is>
      </c>
      <c r="B17" s="22">
        <f>0.98</f>
        <v/>
      </c>
      <c r="C17" t="inlineStr">
        <is>
          <t>отход ~2% против ~4% nesting</t>
        </is>
      </c>
    </row>
    <row r="18">
      <c r="A18" t="inlineStr">
        <is>
          <t>OEE цель узкого места (кромка/покраска), %</t>
        </is>
      </c>
      <c r="B18" s="22">
        <f>0.80</f>
        <v/>
      </c>
      <c r="C18" t="inlineStr">
        <is>
          <t>Overall Equipment Effectiveness</t>
        </is>
      </c>
    </row>
    <row r="20">
      <c r="A20" s="41" t="inlineStr">
        <is>
          <t>ПРОИЗВОДИТЕЛЬНОСТЬ ТРУДА (почему автоматизация = маржа)</t>
        </is>
      </c>
      <c r="B20" s="41" t="n"/>
      <c r="C20" s="41" t="n"/>
    </row>
    <row r="21">
      <c r="A21" t="inlineStr">
        <is>
          <t>Штат, FTE</t>
        </is>
      </c>
      <c r="B21" s="21">
        <f>Штат!B10</f>
        <v/>
      </c>
      <c r="C21" t="inlineStr">
        <is>
          <t>минимальная команда</t>
        </is>
      </c>
    </row>
    <row r="22">
      <c r="A22" t="inlineStr">
        <is>
          <t>Выручка на 1 FTE, Y3, $</t>
        </is>
      </c>
      <c r="B22" s="13">
        <f>'3 года и ROI'!D5/Штат!B10</f>
        <v/>
      </c>
      <c r="C22" t="inlineStr">
        <is>
          <t>≈ в разы выше ручного цеха</t>
        </is>
      </c>
    </row>
    <row r="23">
      <c r="A23" t="inlineStr">
        <is>
          <t>Кухонь на 1 FTE в год, Y3</t>
        </is>
      </c>
      <c r="B23" s="21">
        <f>Допущения!B11/Штат!B10</f>
        <v/>
      </c>
      <c r="C23" t="inlineStr"/>
    </row>
    <row r="24">
      <c r="A24" t="inlineStr">
        <is>
          <t>Труд (нагруж.) % выручки, Y3</t>
        </is>
      </c>
      <c r="B24" s="22">
        <f>Штат!I10/'3 года и ROI'!D5</f>
        <v/>
      </c>
      <c r="C24" t="inlineStr">
        <is>
          <t>ручной цех ~30–40% → у нас ~4%</t>
        </is>
      </c>
    </row>
    <row r="25">
      <c r="A25" t="inlineStr">
        <is>
          <t>Труд, $/кухня, Y3</t>
        </is>
      </c>
      <c r="B25" s="13">
        <f>Штат!I10/Допущения!B11</f>
        <v/>
      </c>
      <c r="C25" t="inlineStr">
        <is>
          <t>ключевое преимущество I4.0</t>
        </is>
      </c>
    </row>
    <row r="27">
      <c r="A27" s="41" t="inlineStr">
        <is>
          <t>ВЫРУЧКА / РЕНТАБЕЛЬНОСТЬ / КЭШ (Y3, база)</t>
        </is>
      </c>
      <c r="B27" s="41" t="n"/>
      <c r="C27" s="41" t="n"/>
    </row>
    <row r="28">
      <c r="A28" t="inlineStr">
        <is>
          <t>Выручка Y3, $</t>
        </is>
      </c>
      <c r="B28" s="13">
        <f>'3 года и ROI'!D5</f>
        <v/>
      </c>
      <c r="C28" t="inlineStr"/>
    </row>
    <row r="29">
      <c r="A29" t="inlineStr">
        <is>
          <t>EBITDA Y3, $</t>
        </is>
      </c>
      <c r="B29" s="13">
        <f>'3 года и ROI'!D10</f>
        <v/>
      </c>
      <c r="C29" t="inlineStr"/>
    </row>
    <row r="30">
      <c r="A30" t="inlineStr">
        <is>
          <t>Маржа EBITDA Y3, %</t>
        </is>
      </c>
      <c r="B30" s="22">
        <f>'3 года и ROI'!D11</f>
        <v/>
      </c>
      <c r="C30" t="inlineStr"/>
    </row>
    <row r="31">
      <c r="A31" t="inlineStr">
        <is>
          <t>Маркетинг % выручки Y3</t>
        </is>
      </c>
      <c r="B31" s="22">
        <f>'3 года и ROI'!D9/'3 года и ROI'!D5</f>
        <v/>
      </c>
      <c r="C31" t="inlineStr">
        <is>
          <t>MAX(минимум, 9% выручки)</t>
        </is>
      </c>
    </row>
    <row r="32">
      <c r="A32" t="inlineStr">
        <is>
          <t>Окупаемость после налога, лет</t>
        </is>
      </c>
      <c r="B32" s="20">
        <f>'3 года и ROI'!B23</f>
        <v/>
      </c>
      <c r="C32" t="inlineStr">
        <is>
          <t>полный раунд $5.0M</t>
        </is>
      </c>
    </row>
    <row r="33">
      <c r="A33" t="inlineStr">
        <is>
          <t>DSO (дней) — онлайн-предоплата B2B</t>
        </is>
      </c>
      <c r="B33" s="21">
        <f>7</f>
        <v/>
      </c>
      <c r="C33" t="inlineStr">
        <is>
          <t>дизайнеры платят вперёд → низкая дебиторка</t>
        </is>
      </c>
    </row>
    <row r="34">
      <c r="A34" t="inlineStr">
        <is>
          <t>ROI Y3 после налога / раунд</t>
        </is>
      </c>
      <c r="B34" s="22">
        <f>'3 года и ROI'!B25</f>
        <v/>
      </c>
      <c r="C34" t="inlineStr">
        <is>
          <t>кэш-выкуп $5.0M</t>
        </is>
      </c>
    </row>
    <row r="35">
      <c r="A35" s="42" t="inlineStr">
        <is>
          <t>ROI Y3 при ЛИЗИНГЕ (вход ~$1.9M)</t>
        </is>
      </c>
      <c r="B35" s="43">
        <f>Лизинг!C27</f>
        <v/>
      </c>
      <c r="C35" s="42" t="inlineStr">
        <is>
          <t>основной способ входа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G39"/>
  <sheetViews>
    <sheetView workbookViewId="0">
      <selection activeCell="A1" sqref="A1"/>
    </sheetView>
  </sheetViews>
  <sheetFormatPr baseColWidth="8" defaultRowHeight="15"/>
  <cols>
    <col width="52" customWidth="1" min="1" max="1"/>
    <col width="18" customWidth="1" min="2" max="2"/>
    <col width="18" customWidth="1" min="3" max="3"/>
    <col width="18" customWidth="1" min="4" max="4"/>
    <col width="42" customWidth="1" min="5" max="5"/>
    <col width="24" customWidth="1" min="6" max="6"/>
  </cols>
  <sheetData>
    <row r="1">
      <c r="A1" s="40" t="inlineStr">
        <is>
          <t>ЛИЗИНГ ОБОРУДОВАНИЯ — ОСНОВНОЙ СПОСОБ ВХОДА (снижает порог для инвестора)</t>
        </is>
      </c>
    </row>
    <row r="2">
      <c r="A2" t="inlineStr">
        <is>
          <t>Вместо выкупа линии за $5.0M инвестор финансирует только аванс + оборотный капитал + резерв. Оборудование берётся в лизинг (vendor/equipment lease). Две колонки: База и Стресс-условия для стартапа.</t>
        </is>
      </c>
    </row>
    <row r="3">
      <c r="A3" s="44" t="inlineStr">
        <is>
          <t>Параметр</t>
        </is>
      </c>
      <c r="B3" s="44" t="inlineStr">
        <is>
          <t>База 10% / 72 мес / 9%</t>
        </is>
      </c>
      <c r="C3" s="41" t="inlineStr">
        <is>
          <t>Стресс 15% / 60 мес / 12%</t>
        </is>
      </c>
    </row>
    <row r="4">
      <c r="A4" s="28" t="inlineStr">
        <is>
          <t>Оборудование, передаваемое в лизинг, $</t>
        </is>
      </c>
      <c r="B4" s="45">
        <f>'CapEx'!B25-'CapEx'!B24</f>
        <v/>
      </c>
      <c r="C4" s="13">
        <f>'CapEx'!B25-'CapEx'!B24</f>
        <v/>
      </c>
    </row>
    <row r="5">
      <c r="A5" s="28" t="inlineStr">
        <is>
          <t>Аванс (down payment), %</t>
        </is>
      </c>
      <c r="B5" s="46" t="n">
        <v>0.1</v>
      </c>
      <c r="C5" s="8" t="n">
        <v>0.15</v>
      </c>
    </row>
    <row r="6">
      <c r="A6" s="28" t="inlineStr">
        <is>
          <t>Аванс, $</t>
        </is>
      </c>
      <c r="B6" s="45">
        <f>B4*B5</f>
        <v/>
      </c>
      <c r="C6" s="13">
        <f>C4*C5</f>
        <v/>
      </c>
    </row>
    <row r="7">
      <c r="A7" s="28" t="inlineStr">
        <is>
          <t>Финансируемая сумма, $</t>
        </is>
      </c>
      <c r="B7" s="45">
        <f>B4-B6</f>
        <v/>
      </c>
      <c r="C7" s="13">
        <f>C4-C6</f>
        <v/>
      </c>
    </row>
    <row r="8">
      <c r="A8" s="28" t="inlineStr">
        <is>
          <t>Срок, мес.</t>
        </is>
      </c>
      <c r="B8" s="47" t="n">
        <v>72</v>
      </c>
      <c r="C8" s="19" t="n">
        <v>60</v>
      </c>
    </row>
    <row r="9">
      <c r="A9" s="28" t="inlineStr">
        <is>
          <t>Ставка, годовая</t>
        </is>
      </c>
      <c r="B9" s="46" t="n">
        <v>0.09</v>
      </c>
      <c r="C9" s="8" t="n">
        <v>0.12</v>
      </c>
    </row>
    <row r="10">
      <c r="A10" s="28" t="inlineStr">
        <is>
          <t>Платёж, $/мес</t>
        </is>
      </c>
      <c r="B10" s="45">
        <f>PMT(B9/12,B8,-B7)</f>
        <v/>
      </c>
      <c r="C10" s="13">
        <f>PMT(C9/12,C8,-C7)</f>
        <v/>
      </c>
    </row>
    <row r="11">
      <c r="A11" s="28" t="inlineStr">
        <is>
          <t>Платёж, $/год</t>
        </is>
      </c>
      <c r="B11" s="45">
        <f>B10*12</f>
        <v/>
      </c>
      <c r="C11" s="13">
        <f>C10*12</f>
        <v/>
      </c>
    </row>
    <row r="12">
      <c r="A12" s="30" t="inlineStr">
        <is>
          <t>ВХОД ИНВЕСТОРА при лизинге (equity+об.кап.+резерв), $</t>
        </is>
      </c>
      <c r="B12" s="48">
        <f>'CapEx'!B30-B4+B6</f>
        <v/>
      </c>
      <c r="C12" s="49">
        <f>'CapEx'!B30-C4+C6</f>
        <v/>
      </c>
    </row>
    <row r="13">
      <c r="A13" s="28" t="inlineStr">
        <is>
          <t>Аморт. (book) без leased equipment, $/год</t>
        </is>
      </c>
      <c r="B13" s="45">
        <f>('CapEx'!B32-B4)/'Допущения'!B14</f>
        <v/>
      </c>
      <c r="C13" s="13">
        <f>('CapEx'!B32-C4)/'Допущения'!B14</f>
        <v/>
      </c>
    </row>
    <row r="14">
      <c r="A14" s="28" t="n"/>
      <c r="B14" s="28" t="n"/>
    </row>
    <row r="15">
      <c r="A15" s="28" t="inlineStr">
        <is>
          <t>ASC 842: классификацию operating/finance lease и ROU-актив/обязательство подтверждает CPA.</t>
        </is>
      </c>
      <c r="B15" s="28" t="n"/>
    </row>
    <row r="16">
      <c r="A16" t="inlineStr">
        <is>
          <t>Налоги: не совмещать lease payment с амортизацией предмета лизинга; tax/book различия — у CPA.</t>
        </is>
      </c>
    </row>
    <row r="17">
      <c r="A17" s="50" t="n"/>
      <c r="B17" s="50" t="n"/>
      <c r="C17" s="50" t="n"/>
      <c r="D17" s="50" t="n"/>
      <c r="E17" s="50" t="n"/>
      <c r="F17" s="50" t="n"/>
    </row>
    <row r="18">
      <c r="A18" s="51" t="inlineStr">
        <is>
          <t>ЧУВСТВИТЕЛЬНОСТЬ ПО СПРОСУ (лизинг, базовые условия)</t>
        </is>
      </c>
      <c r="B18" s="33" t="n"/>
      <c r="C18" s="33" t="n"/>
      <c r="D18" s="33" t="n"/>
      <c r="E18" s="28" t="n"/>
      <c r="F18" s="28" t="n"/>
    </row>
    <row r="19">
      <c r="A19" s="52" t="inlineStr">
        <is>
          <t>Показатель</t>
        </is>
      </c>
      <c r="B19" s="53" t="inlineStr">
        <is>
          <t>Консерв.</t>
        </is>
      </c>
      <c r="C19" s="53" t="inlineStr">
        <is>
          <t>Агрессив. (база)</t>
        </is>
      </c>
      <c r="D19" s="53" t="inlineStr">
        <is>
          <t>Агрессив.+2 смены</t>
        </is>
      </c>
      <c r="E19" s="28" t="n"/>
      <c r="F19" s="28" t="n"/>
    </row>
    <row r="20">
      <c r="A20" s="28" t="inlineStr">
        <is>
          <t>Выручка Y3, $</t>
        </is>
      </c>
      <c r="B20" s="45">
        <f>'Сценарии'!B15</f>
        <v/>
      </c>
      <c r="C20" s="45">
        <f>'Сценарии'!C15</f>
        <v/>
      </c>
      <c r="D20" s="45">
        <f>'Сценарии'!D15</f>
        <v/>
      </c>
      <c r="E20" s="28" t="n"/>
      <c r="F20" s="28" t="n"/>
    </row>
    <row r="21">
      <c r="A21" s="28" t="inlineStr">
        <is>
          <t>EBITDA Y3 до лизинга, $</t>
        </is>
      </c>
      <c r="B21" s="45">
        <f>'Сценарии'!B18</f>
        <v/>
      </c>
      <c r="C21" s="45">
        <f>'Сценарии'!C18</f>
        <v/>
      </c>
      <c r="D21" s="45">
        <f>'Сценарии'!D18</f>
        <v/>
      </c>
      <c r="E21" s="28" t="n"/>
      <c r="F21" s="28" t="n"/>
    </row>
    <row r="22">
      <c r="A22" s="28" t="inlineStr">
        <is>
          <t>Лизинг-платёж, $/год</t>
        </is>
      </c>
      <c r="B22" s="45">
        <f>$B$11</f>
        <v/>
      </c>
      <c r="C22" s="45">
        <f>$B$11</f>
        <v/>
      </c>
      <c r="D22" s="45">
        <f>$B$11</f>
        <v/>
      </c>
      <c r="E22" s="28" t="n"/>
      <c r="F22" s="28" t="n"/>
    </row>
    <row r="23">
      <c r="A23" s="28" t="inlineStr">
        <is>
          <t>EBITDA Y3 после лизинга, $</t>
        </is>
      </c>
      <c r="B23" s="45">
        <f>B20-B21</f>
        <v/>
      </c>
      <c r="C23" s="45">
        <f>C20-C21</f>
        <v/>
      </c>
      <c r="D23" s="45">
        <f>D20-D21</f>
        <v/>
      </c>
      <c r="E23" s="28" t="n"/>
      <c r="F23" s="28" t="n"/>
    </row>
    <row r="24">
      <c r="A24" s="28" t="inlineStr">
        <is>
          <t>Аморт. без leased equip., $</t>
        </is>
      </c>
      <c r="B24" s="45">
        <f>$B$13</f>
        <v/>
      </c>
      <c r="C24" s="45">
        <f>$B$13</f>
        <v/>
      </c>
      <c r="D24" s="45">
        <f>$B$13</f>
        <v/>
      </c>
      <c r="E24" s="28" t="n"/>
      <c r="F24" s="28" t="n"/>
    </row>
    <row r="25">
      <c r="A25" s="28" t="inlineStr">
        <is>
          <t>EBIT Y3 после лизинга, $</t>
        </is>
      </c>
      <c r="B25" s="45">
        <f>B22-B23</f>
        <v/>
      </c>
      <c r="C25" s="45">
        <f>C22-C23</f>
        <v/>
      </c>
      <c r="D25" s="45">
        <f>D22-D23</f>
        <v/>
      </c>
      <c r="E25" s="28" t="n"/>
      <c r="F25" s="28" t="n"/>
    </row>
    <row r="26">
      <c r="A26" s="28" t="inlineStr">
        <is>
          <t>Налог Y3, $</t>
        </is>
      </c>
      <c r="B26" s="45">
        <f>MAX(0,B24*'Допущения'!$B$17)</f>
        <v/>
      </c>
      <c r="C26" s="45">
        <f>MAX(0,C24*'Допущения'!$B$17)</f>
        <v/>
      </c>
      <c r="D26" s="45">
        <f>MAX(0,D24*'Допущения'!$B$17)</f>
        <v/>
      </c>
      <c r="E26" s="28" t="n"/>
      <c r="F26" s="28" t="n"/>
    </row>
    <row r="27">
      <c r="A27" s="28" t="inlineStr">
        <is>
          <t>Чистая прибыль Y3, $</t>
        </is>
      </c>
      <c r="B27" s="45">
        <f>B24-B25</f>
        <v/>
      </c>
      <c r="C27" s="45">
        <f>C24-C25</f>
        <v/>
      </c>
      <c r="D27" s="45">
        <f>D24-D25</f>
        <v/>
      </c>
      <c r="E27" s="28" t="n"/>
      <c r="F27" s="28" t="n"/>
    </row>
    <row r="28">
      <c r="A28" s="28" t="inlineStr">
        <is>
          <t>Ден. поток после налога Y3, $</t>
        </is>
      </c>
      <c r="B28" s="45">
        <f>B26+B23</f>
        <v/>
      </c>
      <c r="C28" s="45">
        <f>C26+C23</f>
        <v/>
      </c>
      <c r="D28" s="45">
        <f>D26+D23</f>
        <v/>
      </c>
      <c r="E28" s="28" t="n"/>
      <c r="F28" s="28" t="n"/>
    </row>
    <row r="29">
      <c r="A29" s="54" t="inlineStr">
        <is>
          <t>ROI Y3 на ВХОД при лизинге, %</t>
        </is>
      </c>
      <c r="B29" s="55">
        <f>B26/$B$12</f>
        <v/>
      </c>
      <c r="C29" s="55">
        <f>C26/$B$12</f>
        <v/>
      </c>
      <c r="D29" s="55">
        <f>D26/$B$12</f>
        <v/>
      </c>
      <c r="E29" s="28" t="n"/>
      <c r="F29" s="28" t="n"/>
    </row>
    <row r="30"/>
    <row r="31">
      <c r="A31" t="inlineStr">
        <is>
          <t>Иллюстративно, не оферта. Точный график лизинга и условия — по квотам лизингодателя/вендора (HOMAG Finance / сторонний).</t>
        </is>
      </c>
    </row>
    <row r="32"/>
    <row r="33"/>
    <row r="34"/>
    <row r="35"/>
    <row r="36"/>
    <row r="37"/>
    <row r="38"/>
    <row r="39"/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42" customWidth="1" min="1" max="1"/>
    <col width="20" customWidth="1" min="2" max="2"/>
    <col width="20" customWidth="1" min="3" max="3"/>
    <col width="14" customWidth="1" min="4" max="4"/>
    <col width="60" customWidth="1" min="5" max="5"/>
  </cols>
  <sheetData>
    <row r="1">
      <c r="A1" t="inlineStr">
        <is>
          <t>MODEL CHECKS / CHANGE LOG</t>
        </is>
      </c>
    </row>
    <row r="3">
      <c r="A3" s="26" t="inlineStr">
        <is>
          <t>Check</t>
        </is>
      </c>
      <c r="B3" s="26" t="inlineStr">
        <is>
          <t>Actual</t>
        </is>
      </c>
      <c r="C3" s="26" t="inlineStr">
        <is>
          <t>Expected</t>
        </is>
      </c>
      <c r="D3" s="26" t="inlineStr">
        <is>
          <t>Status</t>
        </is>
      </c>
      <c r="E3" s="26" t="inlineStr">
        <is>
          <t>Notes</t>
        </is>
      </c>
    </row>
    <row r="4">
      <c r="A4" s="28" t="inlineStr">
        <is>
          <t>Average ticket includes Premium tier</t>
        </is>
      </c>
      <c r="B4" s="33">
        <f>'Микс и цена'!C8</f>
        <v/>
      </c>
      <c r="C4" s="33" t="n">
        <v>14050</v>
      </c>
      <c r="D4" s="28">
        <f>IF(ABS(B4-C4)&lt;1,"OK","CHECK")</f>
        <v/>
      </c>
      <c r="E4" s="28" t="inlineStr">
        <is>
          <t>Formula must be SUMPRODUCT(B4:B6,C4:C6).</t>
        </is>
      </c>
    </row>
    <row r="5">
      <c r="A5" s="28" t="inlineStr">
        <is>
          <t>Mix sums to 100%</t>
        </is>
      </c>
      <c r="B5" s="34">
        <f>'Микс и цена'!B7</f>
        <v/>
      </c>
      <c r="C5" s="34" t="n">
        <v>1</v>
      </c>
      <c r="D5" s="28">
        <f>IF(ABS(B5-C5)&lt;0.0001,"OK","CHECK")</f>
        <v/>
      </c>
      <c r="E5" s="28" t="inlineStr">
        <is>
          <t>Editable on Микс и цена.</t>
        </is>
      </c>
    </row>
    <row r="6">
      <c r="A6" s="28" t="inlineStr">
        <is>
          <t>Round remains $5.0M after tooling/spares</t>
        </is>
      </c>
      <c r="B6" s="33">
        <f>'CapEx'!B30</f>
        <v/>
      </c>
      <c r="C6" s="33" t="n">
        <v>5000000</v>
      </c>
      <c r="D6" s="28">
        <f>IF(ABS(B6-C6)&lt;1,"OK","CHECK")</f>
        <v/>
      </c>
      <c r="E6" s="28" t="inlineStr">
        <is>
          <t>Reserve reduced by $50k; tooling/spares added to CapEx.</t>
        </is>
      </c>
    </row>
    <row r="7">
      <c r="A7" s="28" t="inlineStr">
        <is>
          <t>Start tooling/spares included</t>
        </is>
      </c>
      <c r="B7" s="33">
        <f>'CapEx'!B24</f>
        <v/>
      </c>
      <c r="C7" s="33" t="n">
        <v>50000</v>
      </c>
      <c r="D7" s="28">
        <f>IF(ABS(B7-C7)&lt;1,"OK","CHECK")</f>
        <v/>
      </c>
      <c r="E7" s="28" t="inlineStr">
        <is>
          <t>CapEx A24.</t>
        </is>
      </c>
    </row>
    <row r="8">
      <c r="A8" s="28" t="inlineStr">
        <is>
          <t>Equipment lease branch equity round</t>
        </is>
      </c>
      <c r="B8" s="33">
        <f>'Лизинг'!B12</f>
        <v/>
      </c>
      <c r="C8" s="33" t="n">
        <v>1931000</v>
      </c>
      <c r="D8" s="28">
        <f>IF(ABS(B8-C8)&lt;1,"OK","CHECK")</f>
        <v/>
      </c>
      <c r="E8" s="28" t="inlineStr">
        <is>
          <t>Assumes 10% down on $3.41M equipment, base defaults.</t>
        </is>
      </c>
    </row>
    <row r="9">
      <c r="A9" s="28" t="inlineStr">
        <is>
          <t>Conservative scenario Y3 revenue</t>
        </is>
      </c>
      <c r="B9" s="33">
        <f>'Сценарии'!B15</f>
        <v/>
      </c>
      <c r="C9" s="33" t="n">
        <v>9835000</v>
      </c>
      <c r="D9" s="28">
        <f>IF(ABS(B9-C9)&lt;1,"OK","CHECK")</f>
        <v/>
      </c>
      <c r="E9" s="28" t="inlineStr">
        <is>
          <t>Checks scenario still ties to avg ticket.</t>
        </is>
      </c>
    </row>
    <row r="10">
      <c r="A10" s="28" t="inlineStr">
        <is>
          <t>Aggressive 1 shift Y3 revenue</t>
        </is>
      </c>
      <c r="B10" s="33">
        <f>'Сценарии'!C15</f>
        <v/>
      </c>
      <c r="C10" s="33" t="n">
        <v>16860000</v>
      </c>
      <c r="D10" s="28">
        <f>IF(ABS(B10-C10)&lt;1,"OK","CHECK")</f>
        <v/>
      </c>
      <c r="E10" s="28" t="inlineStr">
        <is>
          <t>Checks scenario still ties to avg ticket.</t>
        </is>
      </c>
    </row>
    <row r="11">
      <c r="A11" s="28" t="inlineStr">
        <is>
          <t>Aggressive 2 shifts Y3 revenue</t>
        </is>
      </c>
      <c r="B11" s="33">
        <f>'Сценарии'!D15</f>
        <v/>
      </c>
      <c r="C11" s="33" t="n">
        <v>23885000</v>
      </c>
      <c r="D11" s="28">
        <f>IF(ABS(B11-C11)&lt;1,"OK","CHECK")</f>
        <v/>
      </c>
      <c r="E11" s="28" t="inlineStr">
        <is>
          <t>Checks scenario still ties to avg ticket.</t>
        </is>
      </c>
    </row>
    <row r="12">
      <c r="A12" s="28" t="inlineStr">
        <is>
          <t>Disclosure</t>
        </is>
      </c>
      <c r="B12" s="28" t="inlineStr">
        <is>
          <t>Forward-looking projections</t>
        </is>
      </c>
      <c r="C12" s="28" t="inlineStr">
        <is>
          <t>Forward-looking projections</t>
        </is>
      </c>
      <c r="D12" s="28" t="inlineStr">
        <is>
          <t>OK</t>
        </is>
      </c>
      <c r="E12" s="28" t="inlineStr">
        <is>
          <t>Not an offer; final numbers require quotes and CPA review.</t>
        </is>
      </c>
    </row>
    <row r="13">
      <c r="A13" t="inlineStr">
        <is>
          <t>Variable incl warranty reserve</t>
        </is>
      </c>
      <c r="B13">
        <f>Переменные!B11</f>
        <v/>
      </c>
      <c r="C13" t="n">
        <v>7026.05</v>
      </c>
      <c r="D13">
        <f>IF(ABS(B13-C13)&lt;1,"OK","CHECK")</f>
        <v/>
      </c>
      <c r="E13" t="inlineStr">
        <is>
          <t>Includes 1.5% warranty + 2.6% acquiring on avg ticket.</t>
        </is>
      </c>
    </row>
    <row r="14">
      <c r="A14" t="inlineStr">
        <is>
          <t>Fixed full/mo incl new lines</t>
        </is>
      </c>
      <c r="B14">
        <f>Постоянные!C25</f>
        <v/>
      </c>
      <c r="C14" t="n">
        <v>128494</v>
      </c>
      <c r="D14">
        <f>IF(ABS(B14-C14)&lt;5,"OK","CHECK")</f>
        <v/>
      </c>
      <c r="E14" t="inlineStr">
        <is>
          <t>Adds bookkeeper, cleaning, CA property tax, AQMD, legal, staffing buffer, PPE.</t>
        </is>
      </c>
    </row>
    <row r="15">
      <c r="A15" t="inlineStr">
        <is>
          <t>Lease entry &lt;&lt; cash round</t>
        </is>
      </c>
      <c r="B15">
        <f>Лизинг!B12</f>
        <v/>
      </c>
      <c r="C15" t="n">
        <v>1931000</v>
      </c>
      <c r="D15">
        <f>IF(ABS(B15-C15)&lt;1,"OK","CHECK")</f>
        <v/>
      </c>
      <c r="E15" t="inlineStr">
        <is>
          <t>Base 10% down on $3.41M equipment; lowers investor entry from $5.0M to ~$1.93M.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20" customWidth="1" min="3" max="3"/>
  </cols>
  <sheetData>
    <row r="1">
      <c r="A1" s="1" t="inlineStr">
        <is>
          <t>МИКС ЗАКАЗОВ И СРЕДНИЙ ЧЕК (опт)</t>
        </is>
      </c>
    </row>
    <row r="2">
      <c r="A2" s="2" t="inlineStr">
        <is>
          <t>Меняйте доли и цены тиров (жёлтое) — средний чек пересчитается.</t>
        </is>
      </c>
    </row>
    <row r="3">
      <c r="A3" s="7" t="inlineStr">
        <is>
          <t>Тир</t>
        </is>
      </c>
      <c r="B3" s="7" t="inlineStr">
        <is>
          <t>Доля заказов, %</t>
        </is>
      </c>
      <c r="C3" s="7" t="inlineStr">
        <is>
          <t>Средний чек (опт), $</t>
        </is>
      </c>
    </row>
    <row r="4">
      <c r="A4" t="inlineStr">
        <is>
          <t>Value (плёнка/ламинат, RTA-стиль)</t>
        </is>
      </c>
      <c r="B4" s="8" t="n">
        <v>0.2</v>
      </c>
      <c r="C4" s="9" t="n">
        <v>7000</v>
      </c>
    </row>
    <row r="5">
      <c r="A5" t="inlineStr">
        <is>
          <t>Mid custom (крашеный МДФ, frameless)</t>
        </is>
      </c>
      <c r="B5" s="8" t="n">
        <v>0.55</v>
      </c>
      <c r="C5" s="9" t="n">
        <v>13000</v>
      </c>
    </row>
    <row r="6">
      <c r="A6" t="inlineStr">
        <is>
          <t>Premium (большие/спец-проекты)</t>
        </is>
      </c>
      <c r="B6" s="8" t="n">
        <v>0.25</v>
      </c>
      <c r="C6" s="9" t="n">
        <v>22000</v>
      </c>
    </row>
    <row r="7">
      <c r="A7" s="10" t="inlineStr">
        <is>
          <t>Сумма долей</t>
        </is>
      </c>
      <c r="B7" s="4">
        <f>SUM(B4:B6)</f>
        <v/>
      </c>
    </row>
    <row r="8">
      <c r="A8" s="11" t="inlineStr">
        <is>
          <t>СРЕДНИЙ ЧЕК (взвеш.), $</t>
        </is>
      </c>
      <c r="C8" s="12">
        <f>SUMPRODUCT(B4:B6,C4:C6)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44" customWidth="1" min="1" max="1"/>
    <col width="14" customWidth="1" min="2" max="2"/>
  </cols>
  <sheetData>
    <row r="1">
      <c r="A1" s="1" t="inlineStr">
        <is>
          <t>ПЕРЕМЕННЫЕ ЗАТРАТЫ НА 1 КУХНЮ (средний заказ)</t>
        </is>
      </c>
    </row>
    <row r="2">
      <c r="A2" s="2" t="inlineStr">
        <is>
          <t>Эквайринг и гарантийный резерв считаются от среднего чека. Остальное — редактируемо (жёлтое).</t>
        </is>
      </c>
    </row>
    <row r="3">
      <c r="A3" s="35" t="inlineStr">
        <is>
          <t>Статья</t>
        </is>
      </c>
      <c r="B3" s="35" t="inlineStr">
        <is>
          <t>$/кухня</t>
        </is>
      </c>
    </row>
    <row r="4">
      <c r="A4" t="inlineStr">
        <is>
          <t>Корпусные материалы (плита ЛДСП/МДФ)</t>
        </is>
      </c>
      <c r="B4" s="9" t="n">
        <v>2500</v>
      </c>
    </row>
    <row r="5">
      <c r="A5" t="inlineStr">
        <is>
          <t>Фасады (МДФ + плёнка/краска)</t>
        </is>
      </c>
      <c r="B5" s="9" t="n">
        <v>1900</v>
      </c>
    </row>
    <row r="6">
      <c r="A6" t="inlineStr">
        <is>
          <t>Фурнитура (петли, направляющие, ручки)</t>
        </is>
      </c>
      <c r="B6" s="9" t="n">
        <v>1150</v>
      </c>
    </row>
    <row r="7">
      <c r="A7" t="inlineStr">
        <is>
          <t>Отделочные материалы (грунт/краска/UV-лак)</t>
        </is>
      </c>
      <c r="B7" s="9" t="n">
        <v>400</v>
      </c>
    </row>
    <row r="8">
      <c r="A8" t="inlineStr">
        <is>
          <t>Фрахт / доставка</t>
        </is>
      </c>
      <c r="B8" s="9" t="n">
        <v>500</v>
      </c>
    </row>
    <row r="9">
      <c r="A9" t="inlineStr">
        <is>
          <t>Эквайринг / платёжка (2.6% чека)</t>
        </is>
      </c>
      <c r="B9" s="13">
        <f>0.026*'Микс и цена'!C8</f>
        <v/>
      </c>
    </row>
    <row r="10">
      <c r="A10" s="10" t="inlineStr">
        <is>
          <t>Гарантия / переделки / брак (1.5% чека)</t>
        </is>
      </c>
      <c r="B10" s="14">
        <f>0.015*'Микс и цена'!C8</f>
        <v/>
      </c>
    </row>
    <row r="11">
      <c r="A11" s="10" t="inlineStr">
        <is>
          <t>ИТОГО переменные / кухня</t>
        </is>
      </c>
      <c r="B11" s="36">
        <f>SUM(B4:B10)</f>
        <v/>
      </c>
    </row>
    <row r="12">
      <c r="A12" s="10" t="n"/>
      <c r="B12" s="3" t="n"/>
    </row>
    <row r="13">
      <c r="A13" s="10" t="inlineStr">
        <is>
          <t>Маржинальный доход / кухня</t>
        </is>
      </c>
      <c r="B13" s="3">
        <f>'Микс и цена'!C8-B11</f>
        <v/>
      </c>
    </row>
    <row r="14">
      <c r="A14" t="inlineStr">
        <is>
          <t>Маржинальность (контрибуция), %</t>
        </is>
      </c>
      <c r="B14" s="22">
        <f>B13/'Микс и цена'!C8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selection activeCell="A1" sqref="A1"/>
    </sheetView>
  </sheetViews>
  <sheetFormatPr baseColWidth="8" defaultRowHeight="15"/>
  <cols>
    <col width="34" customWidth="1" min="1" max="1"/>
    <col width="8" customWidth="1" min="2" max="2"/>
    <col width="12" customWidth="1" min="3" max="3"/>
    <col width="13" customWidth="1" min="4" max="4"/>
    <col width="11" customWidth="1" min="5" max="5"/>
    <col width="12" customWidth="1" min="6" max="6"/>
    <col width="12" customWidth="1" min="7" max="7"/>
    <col width="14" customWidth="1" min="8" max="8"/>
    <col width="15" customWidth="1" min="9" max="9"/>
  </cols>
  <sheetData>
    <row r="1">
      <c r="A1" s="1" t="inlineStr">
        <is>
          <t>ШТАТНОЕ РАСПИСАНИЕ — ОПЛАТА ТРУДА (нагруженный ФОТ, Калифорния)</t>
        </is>
      </c>
    </row>
    <row r="2">
      <c r="A2" s="2" t="inlineStr">
        <is>
          <t>Нагрузка = налоги работодателя + воркерс-комп (дерево ~5.5%) + медстраховка. Кросс-тренинг: каждый оператор обучен на несколько станций (устойчивость к болезни/отпуску). Жёлтое редактируемо.</t>
        </is>
      </c>
    </row>
    <row r="3">
      <c r="A3" s="7" t="inlineStr">
        <is>
          <t>Роль</t>
        </is>
      </c>
      <c r="B3" s="7" t="inlineStr">
        <is>
          <t>Кол-во</t>
        </is>
      </c>
      <c r="C3" s="7" t="inlineStr">
        <is>
          <t>База/чел, $</t>
        </is>
      </c>
      <c r="D3" s="7" t="inlineStr">
        <is>
          <t>База всего, $</t>
        </is>
      </c>
      <c r="E3" s="7" t="inlineStr">
        <is>
          <t>Налоги+WC, %</t>
        </is>
      </c>
      <c r="F3" s="7" t="inlineStr">
        <is>
          <t>Налоги+WC, $</t>
        </is>
      </c>
      <c r="G3" s="7" t="inlineStr">
        <is>
          <t>Медстрах./чел, $</t>
        </is>
      </c>
      <c r="H3" s="7" t="inlineStr">
        <is>
          <t>Медстрах. всего, $</t>
        </is>
      </c>
      <c r="I3" s="7" t="inlineStr">
        <is>
          <t>ИТОГО, $/год</t>
        </is>
      </c>
    </row>
    <row r="4">
      <c r="A4" t="inlineStr">
        <is>
          <t>CNC / линейный оператор</t>
        </is>
      </c>
      <c r="B4" s="15" t="n">
        <v>2</v>
      </c>
      <c r="C4" s="9" t="n">
        <v>52000</v>
      </c>
      <c r="D4" s="13">
        <f>B4*C4</f>
        <v/>
      </c>
      <c r="E4" s="8" t="n">
        <v>0.145</v>
      </c>
      <c r="F4" s="13">
        <f>D4*E4</f>
        <v/>
      </c>
      <c r="G4" s="9" t="n">
        <v>11000</v>
      </c>
      <c r="H4" s="13">
        <f>B4*G4</f>
        <v/>
      </c>
      <c r="I4" s="13">
        <f>D4+F4+H4</f>
        <v/>
      </c>
    </row>
    <row r="5">
      <c r="A5" t="inlineStr">
        <is>
          <t>Наладчик / механик (ТО, I4.0)</t>
        </is>
      </c>
      <c r="B5" s="15" t="n">
        <v>1</v>
      </c>
      <c r="C5" s="9" t="n">
        <v>68000</v>
      </c>
      <c r="D5" s="13">
        <f>B5*C5</f>
        <v/>
      </c>
      <c r="E5" s="8" t="n">
        <v>0.145</v>
      </c>
      <c r="F5" s="13">
        <f>D5*E5</f>
        <v/>
      </c>
      <c r="G5" s="9" t="n">
        <v>11000</v>
      </c>
      <c r="H5" s="13">
        <f>B5*G5</f>
        <v/>
      </c>
      <c r="I5" s="13">
        <f>D5+F5+H5</f>
        <v/>
      </c>
    </row>
    <row r="6">
      <c r="A6" t="inlineStr">
        <is>
          <t>Грузчик / форклифт / упаковка</t>
        </is>
      </c>
      <c r="B6" s="15" t="n">
        <v>1</v>
      </c>
      <c r="C6" s="9" t="n">
        <v>46000</v>
      </c>
      <c r="D6" s="13">
        <f>B6*C6</f>
        <v/>
      </c>
      <c r="E6" s="8" t="n">
        <v>0.145</v>
      </c>
      <c r="F6" s="13">
        <f>D6*E6</f>
        <v/>
      </c>
      <c r="G6" s="9" t="n">
        <v>11000</v>
      </c>
      <c r="H6" s="13">
        <f>B6*G6</f>
        <v/>
      </c>
      <c r="I6" s="13">
        <f>D6+F6+H6</f>
        <v/>
      </c>
    </row>
    <row r="7">
      <c r="A7" t="inlineStr">
        <is>
          <t>CAD/CAM-программист / оценщик</t>
        </is>
      </c>
      <c r="B7" s="15" t="n">
        <v>1</v>
      </c>
      <c r="C7" s="9" t="n">
        <v>72000</v>
      </c>
      <c r="D7" s="13">
        <f>B7*C7</f>
        <v/>
      </c>
      <c r="E7" s="8" t="n">
        <v>0.145</v>
      </c>
      <c r="F7" s="13">
        <f>D7*E7</f>
        <v/>
      </c>
      <c r="G7" s="9" t="n">
        <v>11000</v>
      </c>
      <c r="H7" s="13">
        <f>B7*G7</f>
        <v/>
      </c>
      <c r="I7" s="13">
        <f>D7+F7+H7</f>
        <v/>
      </c>
    </row>
    <row r="8">
      <c r="A8" t="inlineStr">
        <is>
          <t>Управляющий производством</t>
        </is>
      </c>
      <c r="B8" s="15" t="n">
        <v>1</v>
      </c>
      <c r="C8" s="9" t="n">
        <v>115000</v>
      </c>
      <c r="D8" s="13">
        <f>B8*C8</f>
        <v/>
      </c>
      <c r="E8" s="8" t="n">
        <v>0.145</v>
      </c>
      <c r="F8" s="13">
        <f>D8*E8</f>
        <v/>
      </c>
      <c r="G8" s="9" t="n">
        <v>11000</v>
      </c>
      <c r="H8" s="13">
        <f>B8*G8</f>
        <v/>
      </c>
      <c r="I8" s="13">
        <f>D8+F8+H8</f>
        <v/>
      </c>
    </row>
    <row r="9">
      <c r="A9" t="inlineStr">
        <is>
          <t>Менеджер по продажам (B2B)</t>
        </is>
      </c>
      <c r="B9" s="15" t="n">
        <v>1</v>
      </c>
      <c r="C9" s="9" t="n">
        <v>80000</v>
      </c>
      <c r="D9" s="13">
        <f>B9*C9</f>
        <v/>
      </c>
      <c r="E9" s="8" t="n">
        <v>0.145</v>
      </c>
      <c r="F9" s="13">
        <f>D9*E9</f>
        <v/>
      </c>
      <c r="G9" s="9" t="n">
        <v>11000</v>
      </c>
      <c r="H9" s="13">
        <f>B9*G9</f>
        <v/>
      </c>
      <c r="I9" s="13">
        <f>D9+F9+H9</f>
        <v/>
      </c>
    </row>
    <row r="10">
      <c r="A10" s="10" t="inlineStr">
        <is>
          <t>ИТОГО</t>
        </is>
      </c>
      <c r="B10" s="3">
        <f>SUM(B4:B9)</f>
        <v/>
      </c>
      <c r="D10" s="3">
        <f>SUM(D4:D9)</f>
        <v/>
      </c>
      <c r="F10" s="3">
        <f>SUM(F4:F9)</f>
        <v/>
      </c>
      <c r="H10" s="3">
        <f>SUM(H4:H9)</f>
        <v/>
      </c>
      <c r="I10" s="3">
        <f>SUM(I4:I9)</f>
        <v/>
      </c>
    </row>
    <row r="12">
      <c r="A12" s="10" t="inlineStr">
        <is>
          <t>ФОТ нагруженный, $/мес</t>
        </is>
      </c>
      <c r="B12" s="3">
        <f>I10/12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50" customWidth="1" min="1" max="1"/>
    <col width="16" customWidth="1" min="2" max="2"/>
    <col width="18" customWidth="1" min="3" max="3"/>
  </cols>
  <sheetData>
    <row r="1">
      <c r="A1" s="1" t="inlineStr">
        <is>
          <t>ПОСТОЯННЫЕ РАСХОДЫ / МЕС (без переменной рекламы — она в модели)</t>
        </is>
      </c>
    </row>
    <row r="2">
      <c r="A2" s="2" t="inlineStr">
        <is>
          <t>Реклама: базовый минимум здесь; на зрелости считается как % выручки (см. Допущения). Жёлтое редактируемо.</t>
        </is>
      </c>
    </row>
    <row r="3">
      <c r="A3" s="35" t="inlineStr">
        <is>
          <t>Статья</t>
        </is>
      </c>
      <c r="B3" s="35" t="inlineStr">
        <is>
          <t>Настройка, $/мес</t>
        </is>
      </c>
      <c r="C3" s="35" t="inlineStr">
        <is>
          <t>Полный режим, $/мес</t>
        </is>
      </c>
    </row>
    <row r="4">
      <c r="A4" t="inlineStr">
        <is>
          <t>ФОТ (нагруженный)</t>
        </is>
      </c>
      <c r="B4" s="9" t="n">
        <v>38000</v>
      </c>
      <c r="C4" s="13">
        <f>Штат!B12</f>
        <v/>
      </c>
    </row>
    <row r="5">
      <c r="A5" t="inlineStr">
        <is>
          <t>Аренда (помещение)</t>
        </is>
      </c>
      <c r="B5" s="9" t="n">
        <v>9500</v>
      </c>
      <c r="C5" s="9" t="n">
        <v>9500</v>
      </c>
    </row>
    <row r="6">
      <c r="A6" t="inlineStr">
        <is>
          <t>Энергия / утилиты</t>
        </is>
      </c>
      <c r="B6" s="9" t="n">
        <v>3000</v>
      </c>
      <c r="C6" s="9" t="n">
        <v>5000</v>
      </c>
    </row>
    <row r="7">
      <c r="A7" t="inlineStr">
        <is>
          <t>HVAC / климат / приточка покрасочной (make-up air)</t>
        </is>
      </c>
      <c r="B7" s="9" t="n">
        <v>2000</v>
      </c>
      <c r="C7" s="9" t="n">
        <v>4000</v>
      </c>
    </row>
    <row r="8">
      <c r="A8" t="inlineStr">
        <is>
          <t>ПО производства (MES/ERP/CAD-CAM)</t>
        </is>
      </c>
      <c r="B8" s="9" t="n">
        <v>3000</v>
      </c>
      <c r="C8" s="9" t="n">
        <v>3000</v>
      </c>
    </row>
    <row r="9">
      <c r="A9" t="inlineStr">
        <is>
          <t>Конфигуратор / CPQ (подписка)</t>
        </is>
      </c>
      <c r="B9" s="9" t="n">
        <v>1500</v>
      </c>
      <c r="C9" s="9" t="n">
        <v>3000</v>
      </c>
    </row>
    <row r="10">
      <c r="A10" t="inlineStr">
        <is>
          <t>Хостинг / поддержка сайта</t>
        </is>
      </c>
      <c r="B10" s="9" t="n">
        <v>1500</v>
      </c>
      <c r="C10" s="9" t="n">
        <v>2000</v>
      </c>
    </row>
    <row r="11">
      <c r="A11" t="inlineStr">
        <is>
          <t>Страхование бизнеса (имущество/GL/оборуд./product liab.)</t>
        </is>
      </c>
      <c r="B11" s="9" t="n">
        <v>3000</v>
      </c>
      <c r="C11" s="9" t="n">
        <v>3000</v>
      </c>
    </row>
    <row r="12">
      <c r="A12" t="inlineStr">
        <is>
          <t>Расходники (фрезы, пилы, PUR-клей)</t>
        </is>
      </c>
      <c r="B12" s="9" t="n">
        <v>0</v>
      </c>
      <c r="C12" s="9" t="n">
        <v>3000</v>
      </c>
    </row>
    <row r="13">
      <c r="A13" t="inlineStr">
        <is>
          <t>ТО / сервис / ЗИП</t>
        </is>
      </c>
      <c r="B13" s="9" t="n">
        <v>0</v>
      </c>
      <c r="C13" s="9" t="n">
        <v>4000</v>
      </c>
    </row>
    <row r="14">
      <c r="A14" t="inlineStr">
        <is>
          <t>Вывоз пыли / обрези</t>
        </is>
      </c>
      <c r="B14" s="9" t="n">
        <v>500</v>
      </c>
      <c r="C14" s="9" t="n">
        <v>1000</v>
      </c>
    </row>
    <row r="15">
      <c r="A15" t="inlineStr">
        <is>
          <t>Реклама — агрессивный минимум (узнаваемость)</t>
        </is>
      </c>
      <c r="B15" s="9" t="n">
        <v>20000</v>
      </c>
      <c r="C15" s="9" t="n">
        <v>20000</v>
      </c>
    </row>
    <row r="16">
      <c r="A16" t="inlineStr">
        <is>
          <t>Поддержка ПО / IT (обновления, доработка конфигуратора)</t>
        </is>
      </c>
      <c r="B16" s="9" t="n">
        <v>2000</v>
      </c>
      <c r="C16" s="9" t="n">
        <v>4000</v>
      </c>
    </row>
    <row r="17">
      <c r="A17" t="inlineStr">
        <is>
          <t>Админ / офис / прочее</t>
        </is>
      </c>
      <c r="B17" s="9" t="n">
        <v>2000</v>
      </c>
      <c r="C17" s="9" t="n">
        <v>2000</v>
      </c>
    </row>
    <row r="18">
      <c r="A18" s="10" t="inlineStr">
        <is>
          <t>Бухгалтерия / CPA / payroll-сервис (аутсорс)</t>
        </is>
      </c>
      <c r="B18" s="37" t="n">
        <v>1800</v>
      </c>
      <c r="C18" s="37" t="n">
        <v>2800</v>
      </c>
    </row>
    <row r="19">
      <c r="A19" t="inlineStr">
        <is>
          <t>Клининг / уборка помещения (сервис)</t>
        </is>
      </c>
      <c r="B19" s="9" t="n">
        <v>600</v>
      </c>
      <c r="C19" s="9" t="n">
        <v>1200</v>
      </c>
    </row>
    <row r="20">
      <c r="A20" t="inlineStr">
        <is>
          <t>Налог на имущество CA (~1.0%/год от оборуд.+ПО)</t>
        </is>
      </c>
      <c r="B20" s="9" t="n">
        <v>3000</v>
      </c>
      <c r="C20" s="9" t="n">
        <v>3000</v>
      </c>
    </row>
    <row r="21">
      <c r="A21" t="inlineStr">
        <is>
          <t>Разрешения AQMD/CARB + утилизация ЛКМ/hazmat</t>
        </is>
      </c>
      <c r="B21" s="9" t="n">
        <v>600</v>
      </c>
      <c r="C21" s="9" t="n">
        <v>1000</v>
      </c>
    </row>
    <row r="22">
      <c r="A22" t="inlineStr">
        <is>
          <t>Юридические / профессиональные услуги</t>
        </is>
      </c>
      <c r="B22" s="9" t="n">
        <v>1500</v>
      </c>
      <c r="C22" s="9" t="n">
        <v>1000</v>
      </c>
    </row>
    <row r="23">
      <c r="A23" t="inlineStr">
        <is>
          <t>Резерв на болезнь/текучку (temp-агентство + овертайм + рекрутинг)</t>
        </is>
      </c>
      <c r="B23" s="9" t="n">
        <v>1000</v>
      </c>
      <c r="C23" s="9" t="n">
        <v>2500</v>
      </c>
    </row>
    <row r="24">
      <c r="A24" t="inlineStr">
        <is>
          <t>СИЗ / охрана труда / обучение (OSHA, first aid)</t>
        </is>
      </c>
      <c r="B24" s="9" t="n">
        <v>500</v>
      </c>
      <c r="C24" s="9" t="n">
        <v>800</v>
      </c>
    </row>
    <row r="25">
      <c r="A25" s="38" t="inlineStr">
        <is>
          <t>ИТОГО / мес (без рекл.% сверх минимума)</t>
        </is>
      </c>
      <c r="B25" s="36">
        <f>SUM(B4:B24)</f>
        <v/>
      </c>
      <c r="C25" s="36">
        <f>SUM(C4:C24)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68" customWidth="1" min="1" max="1"/>
    <col width="14" customWidth="1" min="2" max="2"/>
  </cols>
  <sheetData>
    <row r="1">
      <c r="A1" s="1" t="inlineStr">
        <is>
          <t>КАПЗАТРАТЫ И ОБЪЁМ РАУНДА · Recommended I4.0 + онлайн-конфигуратор</t>
        </is>
      </c>
    </row>
    <row r="2">
      <c r="A2" s="2" t="inlineStr">
        <is>
          <t>Жёлтое редактируемо. Дизайнеры платят онлайн вперёд → дебиторка низкая (плюс к оборотному капиталу).</t>
        </is>
      </c>
    </row>
    <row r="3">
      <c r="A3" s="7" t="inlineStr">
        <is>
          <t>Статья</t>
        </is>
      </c>
      <c r="B3" s="7" t="inlineStr">
        <is>
          <t>$</t>
        </is>
      </c>
    </row>
    <row r="4">
      <c r="A4" t="inlineStr">
        <is>
          <t>Автосклад плит + автозагрузка HOMAG STORETEQ (без оператора)</t>
        </is>
      </c>
      <c r="B4" s="9" t="n">
        <v>250000</v>
      </c>
    </row>
    <row r="5">
      <c r="A5" t="inlineStr">
        <is>
          <t>Раскрой: пила HOMAG SAWTEQ flexTec — РОБОТ (загрузка + раскладка деталей, без рук)</t>
        </is>
      </c>
      <c r="B5" s="9" t="n">
        <v>480000</v>
      </c>
    </row>
    <row r="6">
      <c r="A6" t="inlineStr">
        <is>
          <t>Кромка двусторонняя HOMAG EDGETEQ D-810 (squaring, 2 кромки/проход — объём)</t>
        </is>
      </c>
      <c r="B6" s="9" t="n">
        <v>500000</v>
      </c>
    </row>
    <row r="7">
      <c r="A7" t="inlineStr">
        <is>
          <t>Присадка 6-стор. HOMAG DRILLTEQ H-610 (присадка + паз + фрезеровка, полн. компл.)</t>
        </is>
      </c>
      <c r="B7" s="9" t="n">
        <v>320000</v>
      </c>
    </row>
    <row r="8">
      <c r="A8" t="inlineStr">
        <is>
          <t>Вертикальный присадочный HOMAG DRILLTEQ V-310 — мелкие/спецдетали &lt;70 мм</t>
        </is>
      </c>
      <c r="B8" s="9" t="n">
        <v>120000</v>
      </c>
    </row>
    <row r="9">
      <c r="A9" t="inlineStr">
        <is>
          <t>Транспорт / возврат / сортировка HOMAG TRANSBOT + конвейеры</t>
        </is>
      </c>
      <c r="B9" s="9" t="n">
        <v>170000</v>
      </c>
    </row>
    <row r="10">
      <c r="A10" t="inlineStr">
        <is>
          <t>Фасады: мембранный пресс плёнки (партнёр Wemhöner)</t>
        </is>
      </c>
      <c r="B10" s="9" t="n">
        <v>90000</v>
      </c>
    </row>
    <row r="11">
      <c r="A11" t="inlineStr">
        <is>
          <t>Фасады: покрасочно-сушильная HOMAG SPRAYTEQ + UV</t>
        </is>
      </c>
      <c r="B11" s="9" t="n">
        <v>300000</v>
      </c>
    </row>
    <row r="12">
      <c r="A12" t="inlineStr">
        <is>
          <t>Калибр-шлифовка (wide-belt)</t>
        </is>
      </c>
      <c r="B12" s="9" t="n">
        <v>55000</v>
      </c>
    </row>
    <row r="13">
      <c r="A13" t="inlineStr">
        <is>
          <t>Упаковка flat-pack HOMAG PAQTEQ (авто)</t>
        </is>
      </c>
      <c r="B13" s="9" t="n">
        <v>200000</v>
      </c>
    </row>
    <row r="14">
      <c r="A14" t="inlineStr">
        <is>
          <t>Аспирация NFPA (циклон+рукавный+силос+авто-выгрузка) + искрогашение/взрыворазрядники</t>
        </is>
      </c>
      <c r="B14" s="9" t="n">
        <v>180000</v>
      </c>
    </row>
    <row r="15">
      <c r="A15" t="inlineStr">
        <is>
          <t>Шредер обрезков ДСП/МДФ + стац. компактор → закрытый ролл-офф (авто)</t>
        </is>
      </c>
      <c r="B15" s="9" t="n">
        <v>120000</v>
      </c>
    </row>
    <row r="16">
      <c r="A16" t="inlineStr">
        <is>
          <t>Автоматизация отходов I4.0 (SonicAire + IoT-датчики + auto-haul)</t>
        </is>
      </c>
      <c r="B16" s="9" t="n">
        <v>30000</v>
      </c>
    </row>
    <row r="17">
      <c r="A17" t="inlineStr">
        <is>
          <t>Пожаротушение (NFPA 33 / спринклеры)</t>
        </is>
      </c>
      <c r="B17" s="9" t="n">
        <v>40000</v>
      </c>
    </row>
    <row r="18">
      <c r="A18" t="inlineStr">
        <is>
          <t>HVAC + приточная вентиляция покрасочной (make-up air) + климат/влажность</t>
        </is>
      </c>
      <c r="B18" s="9" t="n">
        <v>240000</v>
      </c>
    </row>
    <row r="19">
      <c r="A19" t="inlineStr">
        <is>
          <t>Электрофорклифт (б/у)</t>
        </is>
      </c>
      <c r="B19" s="9" t="n">
        <v>20000</v>
      </c>
    </row>
    <row r="20">
      <c r="A20" t="inlineStr">
        <is>
          <t>Компрессор + осушитель</t>
        </is>
      </c>
      <c r="B20" s="9" t="n">
        <v>15000</v>
      </c>
    </row>
    <row r="21">
      <c r="A21" t="inlineStr">
        <is>
          <t>ПО/цифровая нить HOMAG: tapio + productionManager + woodWOP + CAD/CAM</t>
        </is>
      </c>
      <c r="B21" s="9" t="n">
        <v>110000</v>
      </c>
    </row>
    <row r="22">
      <c r="A22" t="inlineStr">
        <is>
          <t>Онлайн-конфигуратор + сайт (билд/интеграция)</t>
        </is>
      </c>
      <c r="B22" s="9" t="n">
        <v>90000</v>
      </c>
    </row>
    <row r="23">
      <c r="A23" t="inlineStr">
        <is>
          <t>Стеллажи, оснастка, верстаки</t>
        </is>
      </c>
      <c r="B23" s="9" t="n">
        <v>80000</v>
      </c>
    </row>
    <row r="24">
      <c r="A24" t="inlineStr">
        <is>
          <t>Стартовый ЗИП / инструмент / фрезы / пилы / оснастка запуска</t>
        </is>
      </c>
      <c r="B24" s="9" t="n">
        <v>50000</v>
      </c>
    </row>
    <row r="25">
      <c r="A25" s="16" t="inlineStr">
        <is>
          <t>Подытог: оборудование + ПО</t>
        </is>
      </c>
      <c r="B25" s="14">
        <f>SUM(B4:B24)</f>
        <v/>
      </c>
    </row>
    <row r="26">
      <c r="A26" t="inlineStr">
        <is>
          <t>Монтаж / пусконаладка / обучение / rigging (HOMAG turnkey)</t>
        </is>
      </c>
      <c r="B26" s="9" t="n">
        <v>400000</v>
      </c>
    </row>
    <row r="27">
      <c r="A27" t="inlineStr">
        <is>
          <t>Подготовка помещения (3ф, воздух, воздуховоды, покрасочная зона, CARB/SCAQMD)</t>
        </is>
      </c>
      <c r="B27" s="9" t="n">
        <v>280000</v>
      </c>
    </row>
    <row r="28">
      <c r="A28" t="inlineStr">
        <is>
          <t>Оборотный капитал (материалы + ФОТ до безубыточности)</t>
        </is>
      </c>
      <c r="B28" s="9" t="n">
        <v>550000</v>
      </c>
    </row>
    <row r="29">
      <c r="A29" t="inlineStr">
        <is>
          <t>Резерв / непредвиденное (после выделения стартового ЗИП/инструмента)</t>
        </is>
      </c>
      <c r="B29" s="9" t="n">
        <v>310000</v>
      </c>
    </row>
    <row r="30">
      <c r="A30" s="17" t="inlineStr">
        <is>
          <t>ИТОГО РАУНД</t>
        </is>
      </c>
      <c r="B30" s="12">
        <f>B25+SUM(B26:B29)</f>
        <v/>
      </c>
    </row>
    <row r="32">
      <c r="A32" s="10" t="inlineStr">
        <is>
          <t>База амортизации (оборуд.+ПО+монтаж)</t>
        </is>
      </c>
      <c r="B32" s="3">
        <f>B25+B26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64" customWidth="1" min="1" max="1"/>
    <col width="12" customWidth="1" min="2" max="2"/>
    <col width="12" customWidth="1" min="3" max="3"/>
    <col width="12" customWidth="1" min="4" max="4"/>
  </cols>
  <sheetData>
    <row r="1">
      <c r="A1" s="1" t="inlineStr">
        <is>
          <t>МОЩНОСТЬ ЛИНИИ (узкое место — кромка/line-balancing и покраска при смене цвета, не оператор присадки/упаковки)</t>
        </is>
      </c>
    </row>
    <row r="2">
      <c r="A2" s="2" t="inlineStr">
        <is>
          <t>Схема ПИЛА (всё прямоугольное): прижимная пила SAWTEQ flexTec + робот → through-feed присадка → кромка (+ возвратный конвейер) → фасады. Кухонь/день редактируемо; точная цифра — line-balancing от дилера.</t>
        </is>
      </c>
    </row>
    <row r="3">
      <c r="A3" t="inlineStr">
        <is>
          <t>Кухонь/день (1 смена; HOMAG авто-линия: робот-пила + 2-стор. кромка)</t>
        </is>
      </c>
      <c r="B3" s="18" t="n">
        <v>10</v>
      </c>
    </row>
    <row r="4">
      <c r="A4" t="inlineStr">
        <is>
          <t>Рабочих дней/мес</t>
        </is>
      </c>
      <c r="B4" s="19" t="n">
        <v>21</v>
      </c>
    </row>
    <row r="5">
      <c r="A5" t="inlineStr">
        <is>
          <t>Кухонь/мес (1 смена)</t>
        </is>
      </c>
      <c r="B5" s="20">
        <f>B3*B4</f>
        <v/>
      </c>
    </row>
    <row r="6">
      <c r="A6" s="10" t="inlineStr">
        <is>
          <t>Кухонь/год (1 смена)</t>
        </is>
      </c>
      <c r="B6" s="5">
        <f>B5*12</f>
        <v/>
      </c>
    </row>
    <row r="7">
      <c r="A7" t="inlineStr">
        <is>
          <t>Коэф. 2-й смены (×)</t>
        </is>
      </c>
      <c r="B7" s="18" t="n">
        <v>1.9</v>
      </c>
    </row>
    <row r="8">
      <c r="A8" t="inlineStr">
        <is>
          <t>Кухонь/год (2 смены)</t>
        </is>
      </c>
      <c r="B8" s="21">
        <f>B6*B7</f>
        <v/>
      </c>
    </row>
    <row r="9">
      <c r="A9" t="inlineStr">
        <is>
          <t>Коробов/кухню (справочно)</t>
        </is>
      </c>
      <c r="B9" s="19" t="n">
        <v>14</v>
      </c>
    </row>
    <row r="11">
      <c r="A11" s="10" t="inlineStr">
        <is>
          <t>Бенчмарки (реальные заявления вендоров):</t>
        </is>
      </c>
    </row>
    <row r="12">
      <c r="A12" s="2" t="inlineStr">
        <is>
          <t>• Biesse авто-ячейка: ~150 коробов/смену ≈ 10 кухонь (1 оператор, идеал)</t>
        </is>
      </c>
    </row>
    <row r="13">
      <c r="A13" s="2" t="inlineStr">
        <is>
          <t>• HOMAG Breitschopf: ~2000 кухонь/год, 1500 деталей/день (пила, мультисмена)</t>
        </is>
      </c>
    </row>
    <row r="14">
      <c r="A14" s="2" t="inlineStr">
        <is>
          <t>• Вход. кромочник (ME-25): ~15–18 кухонь/мес (&lt;1/день) → кромка = бутылочное горло</t>
        </is>
      </c>
    </row>
    <row r="16">
      <c r="A16" s="10" t="inlineStr">
        <is>
          <t>Загрузка (план ÷ 1 смена)</t>
        </is>
      </c>
      <c r="B16" s="10" t="inlineStr">
        <is>
          <t>План</t>
        </is>
      </c>
      <c r="C16" s="10" t="inlineStr">
        <is>
          <t>1 смена</t>
        </is>
      </c>
      <c r="D16" s="10" t="inlineStr">
        <is>
          <t>Загрузка</t>
        </is>
      </c>
    </row>
    <row r="17">
      <c r="A17" t="inlineStr">
        <is>
          <t>Год 1</t>
        </is>
      </c>
      <c r="B17" s="21">
        <f>'3 года и ROI'!B4</f>
        <v/>
      </c>
      <c r="C17" s="21">
        <f>Мощность!B6</f>
        <v/>
      </c>
      <c r="D17" s="22">
        <f>B17/C17</f>
        <v/>
      </c>
    </row>
    <row r="18">
      <c r="A18" t="inlineStr">
        <is>
          <t>Год 2</t>
        </is>
      </c>
      <c r="B18" s="21">
        <f>'3 года и ROI'!C4</f>
        <v/>
      </c>
      <c r="C18" s="21">
        <f>Мощность!B6</f>
        <v/>
      </c>
      <c r="D18" s="22">
        <f>B18/C18</f>
        <v/>
      </c>
    </row>
    <row r="19">
      <c r="A19" t="inlineStr">
        <is>
          <t>Год 3</t>
        </is>
      </c>
      <c r="B19" s="21">
        <f>'3 года и ROI'!D4</f>
        <v/>
      </c>
      <c r="C19" s="21">
        <f>Мощность!B6</f>
        <v/>
      </c>
      <c r="D19" s="22">
        <f>B19/C19</f>
        <v/>
      </c>
    </row>
    <row r="21">
      <c r="A21" s="2" t="inlineStr">
        <is>
          <t>Запас на 1 смене после Y3 → рост без 2-й смены; далее 2 смены.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23"/>
  <sheetViews>
    <sheetView workbookViewId="0">
      <selection activeCell="A1" sqref="A1"/>
    </sheetView>
  </sheetViews>
  <sheetFormatPr baseColWidth="8" defaultRowHeight="15"/>
  <cols>
    <col width="28" customWidth="1" min="1" max="1"/>
    <col width="34" customWidth="1" min="2" max="2"/>
    <col width="34" customWidth="1" min="3" max="3"/>
    <col width="42" customWidth="1" min="4" max="4"/>
    <col width="14" customWidth="1" min="5" max="5"/>
    <col width="16" customWidth="1" min="6" max="6"/>
    <col width="28" customWidth="1" min="7" max="7"/>
  </cols>
  <sheetData>
    <row r="1">
      <c r="A1" s="1" t="inlineStr">
        <is>
          <t>СХЕМА ЛИНИИ И ВЫБРАННАЯ КОНФИГУРАЦИЯ (base case)</t>
        </is>
      </c>
    </row>
    <row r="2">
      <c r="A2" s="2" t="inlineStr">
        <is>
          <t>Выбрана единая схема HOMAG/Stiles: прижимная пила SAWTEQ flexTec + робот, единая цифровая нить tapio/MES, сервис Stiles в США. Корпусные детали прямоугольные; базовый выход материала ~98% (отход ~2%).</t>
        </is>
      </c>
    </row>
    <row r="4">
      <c r="A4" s="26" t="inlineStr">
        <is>
          <t>Станция</t>
        </is>
      </c>
      <c r="B4" s="26" t="inlineStr">
        <is>
          <t>Выбранное решение</t>
        </is>
      </c>
      <c r="C4" s="26" t="inlineStr">
        <is>
          <t>Роль в линии</t>
        </is>
      </c>
      <c r="D4" s="26" t="inlineStr">
        <is>
          <t>Почему так</t>
        </is>
      </c>
      <c r="E4" s="26" t="inlineStr">
        <is>
          <t>Статус</t>
        </is>
      </c>
      <c r="F4" s="26" t="inlineStr">
        <is>
          <t>CapEx ref</t>
        </is>
      </c>
      <c r="G4" s="26" t="inlineStr">
        <is>
          <t>Примечание</t>
        </is>
      </c>
    </row>
    <row r="5">
      <c r="A5" s="27" t="inlineStr">
        <is>
          <t>Склад плит / автоподача</t>
        </is>
      </c>
      <c r="B5" s="28" t="inlineStr">
        <is>
          <t>HOMAG STORETEQ</t>
        </is>
      </c>
      <c r="C5" s="28" t="inlineStr">
        <is>
          <t>Подача плит без постоянного оператора</t>
        </is>
      </c>
      <c r="D5" s="28" t="inlineStr">
        <is>
          <t>Единая digital thread, меньше ручных перемещений</t>
        </is>
      </c>
      <c r="E5" s="28" t="inlineStr">
        <is>
          <t>Base</t>
        </is>
      </c>
      <c r="F5" s="28" t="inlineStr">
        <is>
          <t>CapEx A4</t>
        </is>
      </c>
      <c r="G5" s="28" t="inlineStr">
        <is>
          <t>Stiles service</t>
        </is>
      </c>
    </row>
    <row r="6">
      <c r="A6" s="27" t="inlineStr">
        <is>
          <t>Раскрой</t>
        </is>
      </c>
      <c r="B6" s="28" t="inlineStr">
        <is>
          <t>HOMAG SAWTEQ flexTec + робот</t>
        </is>
      </c>
      <c r="C6" s="28" t="inlineStr">
        <is>
          <t>Прижимная пила, загрузка и раскладка деталей</t>
        </is>
      </c>
      <c r="D6" s="28" t="inlineStr">
        <is>
          <t>Точность механического зажима, любые толщины, отход ~2%</t>
        </is>
      </c>
      <c r="E6" s="28" t="inlineStr">
        <is>
          <t>Base</t>
        </is>
      </c>
      <c r="F6" s="28" t="inlineStr">
        <is>
          <t>CapEx A5</t>
        </is>
      </c>
      <c r="G6" s="28" t="inlineStr">
        <is>
          <t>Не router-cut для корпуса</t>
        </is>
      </c>
    </row>
    <row r="7">
      <c r="A7" s="29" t="inlineStr">
        <is>
          <t>Кромка</t>
        </is>
      </c>
      <c r="B7" s="29" t="inlineStr">
        <is>
          <t>HOMAG EDGETEQ D-810</t>
        </is>
      </c>
      <c r="C7" s="29" t="inlineStr">
        <is>
          <t>Двусторонняя squaring-кромка</t>
        </is>
      </c>
      <c r="D7" s="29" t="inlineStr">
        <is>
          <t>Лучшее узкое место для прямоугольного корпуса; масштабируемость</t>
        </is>
      </c>
      <c r="E7" s="29" t="inlineStr">
        <is>
          <t>Base</t>
        </is>
      </c>
      <c r="F7" s="29" t="inlineStr">
        <is>
          <t>CapEx A6</t>
        </is>
      </c>
      <c r="G7" s="29" t="inlineStr">
        <is>
          <t>line-balancing от дилера</t>
        </is>
      </c>
    </row>
    <row r="8">
      <c r="A8" s="30" t="inlineStr">
        <is>
          <t>Присадка основного потока</t>
        </is>
      </c>
      <c r="B8" s="28" t="inlineStr">
        <is>
          <t>HOMAG DRILLTEQ H-610</t>
        </is>
      </c>
      <c r="C8" s="28" t="inlineStr">
        <is>
          <t>6-сторонняя присадка + паз + фрезеровка</t>
        </is>
      </c>
      <c r="D8" s="28" t="inlineStr">
        <is>
          <t>Потоковая присадка без отдельного bottleneck</t>
        </is>
      </c>
      <c r="E8" s="28" t="inlineStr">
        <is>
          <t>Base</t>
        </is>
      </c>
      <c r="F8" s="28" t="inlineStr">
        <is>
          <t>CapEx A7</t>
        </is>
      </c>
      <c r="G8" s="28" t="inlineStr"/>
    </row>
    <row r="9">
      <c r="A9" s="30" t="inlineStr">
        <is>
          <t>Присадка мелких деталей</t>
        </is>
      </c>
      <c r="B9" s="28" t="inlineStr">
        <is>
          <t>HOMAG DRILLTEQ V-310</t>
        </is>
      </c>
      <c r="C9" s="28" t="inlineStr">
        <is>
          <t>Мелкие/спецдетали &lt;70 мм</t>
        </is>
      </c>
      <c r="D9" s="28" t="inlineStr">
        <is>
          <t>Закрывает исключения без остановки основного потока</t>
        </is>
      </c>
      <c r="E9" s="28" t="inlineStr">
        <is>
          <t>Base</t>
        </is>
      </c>
      <c r="F9" s="28" t="inlineStr">
        <is>
          <t>CapEx A8</t>
        </is>
      </c>
      <c r="G9" s="28" t="inlineStr"/>
    </row>
    <row r="10">
      <c r="A10" s="30" t="inlineStr">
        <is>
          <t>Транспорт / сортировка</t>
        </is>
      </c>
      <c r="B10" s="28" t="inlineStr">
        <is>
          <t>HOMAG TRANSBOT + конвейеры</t>
        </is>
      </c>
      <c r="C10" s="28" t="inlineStr">
        <is>
          <t>Буферизация, возврат, сортировка</t>
        </is>
      </c>
      <c r="D10" s="28" t="inlineStr">
        <is>
          <t>Снижает ручную перекладку</t>
        </is>
      </c>
      <c r="E10" s="28" t="inlineStr">
        <is>
          <t>Base</t>
        </is>
      </c>
      <c r="F10" s="28" t="inlineStr">
        <is>
          <t>CapEx A9</t>
        </is>
      </c>
      <c r="G10" s="28" t="inlineStr"/>
    </row>
    <row r="11">
      <c r="A11" s="30" t="inlineStr">
        <is>
          <t>Фасады: плёнка</t>
        </is>
      </c>
      <c r="B11" s="28" t="inlineStr">
        <is>
          <t>Мембранный пресс (партнёр Wemhöner)</t>
        </is>
      </c>
      <c r="C11" s="28" t="inlineStr">
        <is>
          <t>Foil-fronts для value/ADU сегмента</t>
        </is>
      </c>
      <c r="D11" s="28" t="inlineStr">
        <is>
          <t>Быстрый старт без мокрой покраски каждого заказа</t>
        </is>
      </c>
      <c r="E11" s="28" t="inlineStr">
        <is>
          <t>Base</t>
        </is>
      </c>
      <c r="F11" s="28" t="inlineStr">
        <is>
          <t>CapEx A10</t>
        </is>
      </c>
      <c r="G11" s="28" t="inlineStr">
        <is>
          <t>Партнёрское оборудование</t>
        </is>
      </c>
    </row>
    <row r="12">
      <c r="A12" s="30" t="inlineStr">
        <is>
          <t>Фасады: покраска + UV</t>
        </is>
      </c>
      <c r="B12" s="28" t="inlineStr">
        <is>
          <t>HOMAG SPRAYTEQ + UV</t>
        </is>
      </c>
      <c r="C12" s="28" t="inlineStr">
        <is>
          <t>Плоские/painted fronts и premium finish</t>
        </is>
      </c>
      <c r="D12" s="28" t="inlineStr">
        <is>
          <t>Цветовые партии; bottleneck при частой смене цвета</t>
        </is>
      </c>
      <c r="E12" s="28" t="inlineStr">
        <is>
          <t>Base</t>
        </is>
      </c>
      <c r="F12" s="28" t="inlineStr">
        <is>
          <t>CapEx A11</t>
        </is>
      </c>
      <c r="G12" s="28" t="inlineStr">
        <is>
          <t>Финишер только если wet paint from day 1</t>
        </is>
      </c>
    </row>
    <row r="13">
      <c r="A13" s="30" t="inlineStr">
        <is>
          <t>Шлифовка</t>
        </is>
      </c>
      <c r="B13" s="28" t="inlineStr">
        <is>
          <t>Wide-belt sanding</t>
        </is>
      </c>
      <c r="C13" s="28" t="inlineStr">
        <is>
          <t>Калибровка фасадов</t>
        </is>
      </c>
      <c r="D13" s="28" t="inlineStr">
        <is>
          <t>Подготовка под foil/paint</t>
        </is>
      </c>
      <c r="E13" s="28" t="inlineStr">
        <is>
          <t>Base</t>
        </is>
      </c>
      <c r="F13" s="28" t="inlineStr">
        <is>
          <t>CapEx A12</t>
        </is>
      </c>
      <c r="G13" s="28" t="inlineStr"/>
    </row>
    <row r="14">
      <c r="A14" s="30" t="inlineStr">
        <is>
          <t>Упаковка</t>
        </is>
      </c>
      <c r="B14" s="28" t="inlineStr">
        <is>
          <t>HOMAG PAQTEQ</t>
        </is>
      </c>
      <c r="C14" s="28" t="inlineStr">
        <is>
          <t>Flat-pack packaging</t>
        </is>
      </c>
      <c r="D14" s="28" t="inlineStr">
        <is>
          <t>Стабильная отгрузка B2B и e-commerce</t>
        </is>
      </c>
      <c r="E14" s="28" t="inlineStr">
        <is>
          <t>Base</t>
        </is>
      </c>
      <c r="F14" s="28" t="inlineStr">
        <is>
          <t>CapEx A13</t>
        </is>
      </c>
      <c r="G14" s="28" t="inlineStr"/>
    </row>
    <row r="15">
      <c r="A15" s="31" t="inlineStr">
        <is>
          <t>Аспирация / отходы</t>
        </is>
      </c>
      <c r="B15" s="32" t="inlineStr">
        <is>
          <t>NFPA dust + shredder + compactor + IoT</t>
        </is>
      </c>
      <c r="C15" s="32" t="inlineStr">
        <is>
          <t>Безопасность, авто-вывоз, меньше ручного труда</t>
        </is>
      </c>
      <c r="D15" s="32" t="inlineStr">
        <is>
          <t>C&amp;D recycling; МДФ/ДСП не сжигать</t>
        </is>
      </c>
      <c r="E15" s="32" t="inlineStr">
        <is>
          <t>Base</t>
        </is>
      </c>
      <c r="F15" s="32" t="inlineStr">
        <is>
          <t>CapEx A14:A18</t>
        </is>
      </c>
      <c r="G15" s="32" t="inlineStr"/>
    </row>
    <row r="16">
      <c r="A16" s="31" t="inlineStr">
        <is>
          <t>Software / CPQ</t>
        </is>
      </c>
      <c r="B16" s="32" t="inlineStr">
        <is>
          <t>tapio + productionManager + woodWOP + CAD/CAM + configurator</t>
        </is>
      </c>
      <c r="C16" s="32" t="inlineStr">
        <is>
          <t>Заказ → CAD/CAM → станки → barcode</t>
        </is>
      </c>
      <c r="D16" s="32" t="inlineStr">
        <is>
          <t>Основа Industry 4.0 и online prepayment</t>
        </is>
      </c>
      <c r="E16" s="32" t="inlineStr">
        <is>
          <t>Base</t>
        </is>
      </c>
      <c r="F16" s="32" t="inlineStr">
        <is>
          <t>CapEx A21:A22</t>
        </is>
      </c>
      <c r="G16" s="32" t="inlineStr"/>
    </row>
    <row r="17">
      <c r="A17" s="31" t="inlineStr">
        <is>
          <t>Tooling / service zone</t>
        </is>
      </c>
      <c r="B17" s="32" t="inlineStr">
        <is>
          <t>25-30 м² зона инструмента, ЗИП и обслуживания</t>
        </is>
      </c>
      <c r="C17" s="32" t="inlineStr">
        <is>
          <t>Фрезы, пилы, PUR, стартовый ЗИП, быстрый service response</t>
        </is>
      </c>
      <c r="D17" s="32" t="inlineStr">
        <is>
          <t>Снижает риск простоя</t>
        </is>
      </c>
      <c r="E17" s="32" t="inlineStr">
        <is>
          <t>Base</t>
        </is>
      </c>
      <c r="F17" s="32" t="inlineStr">
        <is>
          <t>CapEx A24</t>
        </is>
      </c>
      <c r="G17" s="32" t="inlineStr">
        <is>
          <t>$50k start stock</t>
        </is>
      </c>
    </row>
    <row r="18">
      <c r="A18" s="28" t="inlineStr"/>
      <c r="B18" s="28" t="inlineStr"/>
      <c r="C18" s="28" t="inlineStr"/>
      <c r="D18" s="28" t="inlineStr"/>
      <c r="E18" s="28" t="inlineStr"/>
      <c r="F18" s="28" t="inlineStr"/>
      <c r="G18" s="28" t="inlineStr"/>
    </row>
    <row r="19">
      <c r="A19" s="30" t="inlineStr">
        <is>
          <t>Альтернативы рассмотрены</t>
        </is>
      </c>
      <c r="B19" s="28" t="inlineStr">
        <is>
          <t>Holz-Her / Biesse / SCM / value-tier</t>
        </is>
      </c>
      <c r="C19" s="28" t="inlineStr">
        <is>
          <t>Используются только как price-check и fallback</t>
        </is>
      </c>
      <c r="D19" s="28" t="inlineStr">
        <is>
          <t>Base case остаётся HOMAG/Stiles из-за полноты линии, единой цифровой нити и сервиса в США</t>
        </is>
      </c>
      <c r="E19" s="28" t="inlineStr">
        <is>
          <t>Not base</t>
        </is>
      </c>
      <c r="F19" s="28" t="inlineStr"/>
      <c r="G19" s="28" t="inlineStr">
        <is>
          <t>Финальная закупка по dealer quotes</t>
        </is>
      </c>
    </row>
    <row r="20">
      <c r="A20" s="27" t="inlineStr">
        <is>
          <t>Не включено в base</t>
        </is>
      </c>
      <c r="B20" s="28" t="inlineStr">
        <is>
          <t>5-axis CNC</t>
        </is>
      </c>
      <c r="C20" s="28" t="inlineStr">
        <is>
          <t>Только для 3D/профильных фасадов и спецдеталей</t>
        </is>
      </c>
      <c r="D20" s="28" t="inlineStr">
        <is>
          <t>Не нужен для прямоугольного корпуса, который режет пила</t>
        </is>
      </c>
      <c r="E20" s="28" t="inlineStr">
        <is>
          <t>Option</t>
        </is>
      </c>
      <c r="F20" s="28" t="inlineStr"/>
      <c r="G20" s="28" t="inlineStr">
        <is>
          <t>Добавлять отдельным upsell/Phase 2</t>
        </is>
      </c>
    </row>
    <row r="21">
      <c r="A21" s="27" t="inlineStr">
        <is>
          <t>Масштаб кромки</t>
        </is>
      </c>
      <c r="B21" s="28" t="inlineStr">
        <is>
          <t>Возвратный конвейер → параллельная кромка → D-810</t>
        </is>
      </c>
      <c r="C21" s="28" t="inlineStr">
        <is>
          <t>Рост от 5-6 до 8-10 кухонь/день</t>
        </is>
      </c>
      <c r="D21" s="28" t="inlineStr">
        <is>
          <t>Узкое место — machine capacity / color batching, не рост штата</t>
        </is>
      </c>
      <c r="E21" s="28" t="inlineStr">
        <is>
          <t>Planning</t>
        </is>
      </c>
      <c r="F21" s="28" t="inlineStr"/>
      <c r="G21" s="28" t="inlineStr"/>
    </row>
    <row r="22">
      <c r="A22" s="27" t="inlineStr">
        <is>
          <t>База персонала</t>
        </is>
      </c>
      <c r="B22" s="28" t="inlineStr">
        <is>
          <t>~7 FTE</t>
        </is>
      </c>
      <c r="C22" s="28" t="inlineStr">
        <is>
          <t>2 оператора линии + механик + forklift/packing + CAD/CAM + production manager + sales</t>
        </is>
      </c>
      <c r="D22" s="28" t="inlineStr">
        <is>
          <t>Операторы мониторят несколько машин</t>
        </is>
      </c>
      <c r="E22" s="28" t="inlineStr">
        <is>
          <t>Base</t>
        </is>
      </c>
      <c r="F22" s="28" t="inlineStr">
        <is>
          <t>Штат</t>
        </is>
      </c>
      <c r="G22" s="28" t="inlineStr">
        <is>
          <t>Не добавлять людей без wet paint from day 1</t>
        </is>
      </c>
    </row>
    <row r="23">
      <c r="A23" s="27" t="inlineStr">
        <is>
          <t>Forward-looking note</t>
        </is>
      </c>
      <c r="B23" s="28" t="inlineStr">
        <is>
          <t>Цены и производительность уточняются dealer quotes и line-balancing</t>
        </is>
      </c>
      <c r="C23" s="28" t="inlineStr">
        <is>
          <t>Investor model assumption</t>
        </is>
      </c>
      <c r="D23" s="28" t="inlineStr">
        <is>
          <t>Не является офертой</t>
        </is>
      </c>
      <c r="E23" s="28" t="inlineStr">
        <is>
          <t>Disclosure</t>
        </is>
      </c>
      <c r="F23" s="28" t="inlineStr"/>
      <c r="G23" s="28" t="inlineStr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46" customWidth="1" min="1" max="1"/>
    <col width="14" customWidth="1" min="2" max="2"/>
  </cols>
  <sheetData>
    <row r="1">
      <c r="A1" s="1" t="inlineStr">
        <is>
          <t>ФИНМОДЕЛЬ · Автоматическая мебельная фабрика (Industry 4.0) · Сев. Калифорния</t>
        </is>
      </c>
    </row>
    <row r="2">
      <c r="A2" s="2" t="inlineStr">
        <is>
          <t>Ключевые входы. Чек — на «Микс и цена», переменные — «Переменные», ФОТ — «Штат», расходы — «Постоянные», мощность — «Мощность».</t>
        </is>
      </c>
    </row>
    <row r="4">
      <c r="A4" t="inlineStr">
        <is>
          <t>Средний чек (опт), $/кухня</t>
        </is>
      </c>
      <c r="B4" s="13">
        <f>'Микс и цена'!C8</f>
        <v/>
      </c>
    </row>
    <row r="5">
      <c r="A5" t="inlineStr">
        <is>
          <t>Переменные, $/кухня</t>
        </is>
      </c>
      <c r="B5" s="13">
        <f>Переменные!B11</f>
        <v/>
      </c>
    </row>
    <row r="6">
      <c r="A6" t="inlineStr">
        <is>
          <t>Маржинальный доход, $/кухня</t>
        </is>
      </c>
      <c r="B6" s="13">
        <f>Переменные!B13</f>
        <v/>
      </c>
    </row>
    <row r="7">
      <c r="A7" t="inlineStr">
        <is>
          <t>Маржинальность, %</t>
        </is>
      </c>
      <c r="B7" s="22">
        <f>B6/B4</f>
        <v/>
      </c>
    </row>
    <row r="8">
      <c r="A8" t="inlineStr">
        <is>
          <t>Длительность настройки (мес, без продаж)</t>
        </is>
      </c>
      <c r="B8" s="19" t="n">
        <v>3</v>
      </c>
    </row>
    <row r="9">
      <c r="A9" t="inlineStr">
        <is>
          <t>Объём раунда (из CapEx), $</t>
        </is>
      </c>
      <c r="B9" s="13">
        <f>CapEx!B30</f>
        <v/>
      </c>
    </row>
    <row r="10">
      <c r="A10" t="inlineStr">
        <is>
          <t>Год 2 — продажи, кухонь/год</t>
        </is>
      </c>
      <c r="B10" s="19" t="n">
        <v>700</v>
      </c>
    </row>
    <row r="11">
      <c r="A11" t="inlineStr">
        <is>
          <t>Год 3 — продажи, кухонь/год</t>
        </is>
      </c>
      <c r="B11" s="19" t="n">
        <v>1200</v>
      </c>
    </row>
    <row r="12">
      <c r="A12" t="inlineStr">
        <is>
          <t>Год 2 — пост. расходы (без рекламы), $/год (1 смена)</t>
        </is>
      </c>
      <c r="B12" s="9" t="n">
        <v>1400000</v>
      </c>
    </row>
    <row r="13">
      <c r="A13" t="inlineStr">
        <is>
          <t>Год 3 — пост. расходы (без рекламы), $/год (1 смена, рост)</t>
        </is>
      </c>
      <c r="B13" s="9" t="n">
        <v>1750000</v>
      </c>
    </row>
    <row r="14">
      <c r="A14" t="inlineStr">
        <is>
          <t>Амортизация, лет</t>
        </is>
      </c>
      <c r="B14" s="19" t="n">
        <v>10</v>
      </c>
    </row>
    <row r="15">
      <c r="A15" t="inlineStr">
        <is>
          <t>База амортизации (из CapEx), $</t>
        </is>
      </c>
      <c r="B15" s="13">
        <f>CapEx!B32</f>
        <v/>
      </c>
    </row>
    <row r="16">
      <c r="A16" t="inlineStr">
        <is>
          <t>Амортизация, $/год</t>
        </is>
      </c>
      <c r="B16" s="13">
        <f>B15/B14</f>
        <v/>
      </c>
    </row>
    <row r="17">
      <c r="A17" t="inlineStr">
        <is>
          <t>Ставка налога (CA+фед, эфф.), %</t>
        </is>
      </c>
      <c r="B17" s="8" t="n">
        <v>0.28</v>
      </c>
    </row>
    <row r="18">
      <c r="A18" t="inlineStr">
        <is>
          <t>Реклама — агрессивный минимум, $/мес</t>
        </is>
      </c>
      <c r="B18" s="9" t="n">
        <v>20000</v>
      </c>
    </row>
    <row r="19">
      <c r="A19" t="inlineStr">
        <is>
          <t>Реклама — % выручки (агрессивно)</t>
        </is>
      </c>
      <c r="B19" s="8" t="n">
        <v>0.09</v>
      </c>
    </row>
    <row r="21">
      <c r="A21" s="10" t="inlineStr">
        <is>
          <t>ПЛАН ПРОДАЖ ГОД 1 (кухонь/мес) — редактируемый</t>
        </is>
      </c>
    </row>
    <row r="22">
      <c r="A22" t="inlineStr">
        <is>
          <t>Месяц 1</t>
        </is>
      </c>
      <c r="B22" s="19" t="n">
        <v>0</v>
      </c>
    </row>
    <row r="23">
      <c r="A23" t="inlineStr">
        <is>
          <t>Месяц 2</t>
        </is>
      </c>
      <c r="B23" s="19" t="n">
        <v>0</v>
      </c>
    </row>
    <row r="24">
      <c r="A24" t="inlineStr">
        <is>
          <t>Месяц 3</t>
        </is>
      </c>
      <c r="B24" s="19" t="n">
        <v>0</v>
      </c>
    </row>
    <row r="25">
      <c r="A25" t="inlineStr">
        <is>
          <t>Месяц 4</t>
        </is>
      </c>
      <c r="B25" s="19" t="n">
        <v>12</v>
      </c>
    </row>
    <row r="26">
      <c r="A26" t="inlineStr">
        <is>
          <t>Месяц 5</t>
        </is>
      </c>
      <c r="B26" s="19" t="n">
        <v>18</v>
      </c>
    </row>
    <row r="27">
      <c r="A27" t="inlineStr">
        <is>
          <t>Месяц 6</t>
        </is>
      </c>
      <c r="B27" s="19" t="n">
        <v>24</v>
      </c>
    </row>
    <row r="28">
      <c r="A28" t="inlineStr">
        <is>
          <t>Месяц 7</t>
        </is>
      </c>
      <c r="B28" s="19" t="n">
        <v>30</v>
      </c>
    </row>
    <row r="29">
      <c r="A29" t="inlineStr">
        <is>
          <t>Месяц 8</t>
        </is>
      </c>
      <c r="B29" s="19" t="n">
        <v>36</v>
      </c>
    </row>
    <row r="30">
      <c r="A30" t="inlineStr">
        <is>
          <t>Месяц 9</t>
        </is>
      </c>
      <c r="B30" s="19" t="n">
        <v>42</v>
      </c>
    </row>
    <row r="31">
      <c r="A31" t="inlineStr">
        <is>
          <t>Месяц 10</t>
        </is>
      </c>
      <c r="B31" s="19" t="n">
        <v>46</v>
      </c>
    </row>
    <row r="32">
      <c r="A32" t="inlineStr">
        <is>
          <t>Месяц 11</t>
        </is>
      </c>
      <c r="B32" s="19" t="n">
        <v>46</v>
      </c>
    </row>
    <row r="33">
      <c r="A33" t="inlineStr">
        <is>
          <t>Месяц 12</t>
        </is>
      </c>
      <c r="B33" s="19" t="n">
        <v>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2026-06-15T03:45:40Z</dcterms:created>
  <dcterms:modified xmlns:dcterms="http://purl.org/dc/terms/" xmlns:xsi="http://www.w3.org/2001/XMLSchema-instance" xsi:type="dcterms:W3CDTF">2026-06-21T02:35:19Z</dcterms:modified>
</cp:coreProperties>
</file>